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virginiatech.sharepoint.com/sites/Clamsortingproject/Shared Documents/General/SCEMFiS Clam sorting/"/>
    </mc:Choice>
  </mc:AlternateContent>
  <xr:revisionPtr revIDLastSave="84" documentId="8_{C129ABCF-8B16-4C86-90F8-4D84F182219C}" xr6:coauthVersionLast="47" xr6:coauthVersionMax="47" xr10:uidLastSave="{5D26CF57-722D-4195-A843-3FCD755A828B}"/>
  <bookViews>
    <workbookView xWindow="-108" yWindow="-108" windowWidth="30936" windowHeight="16776" xr2:uid="{D8670B44-E08F-480D-850E-D02804F04667}"/>
  </bookViews>
  <sheets>
    <sheet name="Plant Custom tool" sheetId="19" r:id="rId1"/>
    <sheet name="Vessel Custom tool" sheetId="1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8" l="1"/>
  <c r="F47" i="18"/>
  <c r="F46" i="18"/>
  <c r="F49" i="19"/>
  <c r="F48" i="19"/>
  <c r="E49" i="19"/>
  <c r="E47" i="18"/>
  <c r="G59" i="19"/>
  <c r="F47" i="19"/>
  <c r="G46" i="19"/>
  <c r="G45" i="19"/>
  <c r="F33" i="19"/>
  <c r="H33" i="19" s="1"/>
  <c r="F30" i="19"/>
  <c r="H30" i="19" s="1"/>
  <c r="F29" i="19"/>
  <c r="H29" i="19" s="1"/>
  <c r="G22" i="19"/>
  <c r="F22" i="19"/>
  <c r="G21" i="19"/>
  <c r="G23" i="19" s="1"/>
  <c r="C11" i="19" s="1"/>
  <c r="C13" i="19" s="1"/>
  <c r="C6" i="19" s="1"/>
  <c r="F21" i="19"/>
  <c r="F23" i="19" s="1"/>
  <c r="C12" i="19" s="1"/>
  <c r="C14" i="19" s="1"/>
  <c r="C20" i="19" s="1"/>
  <c r="C22" i="19" s="1"/>
  <c r="C15" i="18"/>
  <c r="G57" i="18"/>
  <c r="F45" i="18"/>
  <c r="G44" i="18"/>
  <c r="G43" i="18"/>
  <c r="F31" i="18"/>
  <c r="H31" i="18" s="1"/>
  <c r="F30" i="18"/>
  <c r="H30" i="18" s="1"/>
  <c r="F29" i="18"/>
  <c r="H29" i="18" s="1"/>
  <c r="F28" i="18"/>
  <c r="H28" i="18" s="1"/>
  <c r="F27" i="18"/>
  <c r="G20" i="18"/>
  <c r="F20" i="18"/>
  <c r="G19" i="18"/>
  <c r="F19" i="18"/>
  <c r="C8" i="18"/>
  <c r="C19" i="19" l="1"/>
  <c r="C17" i="19"/>
  <c r="E48" i="19"/>
  <c r="G48" i="19" s="1"/>
  <c r="E50" i="19" s="1"/>
  <c r="G50" i="19" s="1"/>
  <c r="C24" i="19"/>
  <c r="E41" i="19" s="1"/>
  <c r="G41" i="19" s="1"/>
  <c r="G49" i="19"/>
  <c r="G47" i="18"/>
  <c r="G21" i="18"/>
  <c r="G5" i="18" s="1"/>
  <c r="E45" i="18" s="1"/>
  <c r="F21" i="18"/>
  <c r="F32" i="18"/>
  <c r="E54" i="18" s="1"/>
  <c r="G54" i="18" s="1"/>
  <c r="H27" i="18"/>
  <c r="H32" i="18" s="1"/>
  <c r="C21" i="19" l="1"/>
  <c r="C23" i="19" s="1"/>
  <c r="E40" i="19" s="1"/>
  <c r="E47" i="19"/>
  <c r="G47" i="19" s="1"/>
  <c r="E32" i="19"/>
  <c r="F32" i="19" s="1"/>
  <c r="H32" i="19" s="1"/>
  <c r="E31" i="19"/>
  <c r="F31" i="19" s="1"/>
  <c r="G52" i="19"/>
  <c r="G62" i="19" s="1"/>
  <c r="C16" i="18"/>
  <c r="C18" i="18" s="1"/>
  <c r="C10" i="18" s="1"/>
  <c r="C17" i="18"/>
  <c r="G7" i="18"/>
  <c r="G9" i="18" s="1"/>
  <c r="G45" i="18"/>
  <c r="G6" i="18"/>
  <c r="G8" i="18" s="1"/>
  <c r="G10" i="18" s="1"/>
  <c r="E39" i="18" s="1"/>
  <c r="G39" i="18" s="1"/>
  <c r="E55" i="18"/>
  <c r="G55" i="18" s="1"/>
  <c r="G58" i="18" s="1"/>
  <c r="H31" i="19" l="1"/>
  <c r="H34" i="19" s="1"/>
  <c r="E57" i="19" s="1"/>
  <c r="G57" i="19" s="1"/>
  <c r="F34" i="19"/>
  <c r="E56" i="19" s="1"/>
  <c r="G56" i="19" s="1"/>
  <c r="C19" i="18"/>
  <c r="E46" i="18"/>
  <c r="G46" i="18" s="1"/>
  <c r="G40" i="19"/>
  <c r="G42" i="19" s="1"/>
  <c r="E42" i="19"/>
  <c r="E51" i="19"/>
  <c r="G51" i="19" s="1"/>
  <c r="E38" i="18"/>
  <c r="G38" i="18" s="1"/>
  <c r="G40" i="18" s="1"/>
  <c r="L54" i="18"/>
  <c r="L55" i="18" s="1"/>
  <c r="E49" i="18"/>
  <c r="G49" i="18" s="1"/>
  <c r="L56" i="19" l="1"/>
  <c r="L57" i="19" s="1"/>
  <c r="G60" i="19"/>
  <c r="E48" i="18"/>
  <c r="G48" i="18" s="1"/>
  <c r="L51" i="18" s="1"/>
  <c r="L52" i="18" s="1"/>
  <c r="L56" i="18" s="1"/>
  <c r="G53" i="19"/>
  <c r="L53" i="19"/>
  <c r="L54" i="19" s="1"/>
  <c r="G65" i="19"/>
  <c r="E40" i="18"/>
  <c r="G51" i="18"/>
  <c r="G61" i="18" s="1"/>
  <c r="L58" i="19" l="1"/>
  <c r="G63" i="19"/>
  <c r="G66" i="19" s="1"/>
  <c r="G50" i="18"/>
  <c r="G60" i="18" s="1"/>
  <c r="G63" i="18" s="1"/>
  <c r="G64" i="18"/>
  <c r="G62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tc={F25C3B18-F2B6-4008-A3B2-759EAEF1A323}</author>
    <author>tc={D64D2B2A-CDDC-4FB9-9212-9B0A64FDBF6F}</author>
  </authors>
  <commentList>
    <comment ref="C19" authorId="0" shapeId="0" xr:uid="{F25C3B18-F2B6-4008-A3B2-759EAEF1A32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Annualize the production, 8 h, 5 days/w, 52 w/yr. Needs to adjust for seasonality, if any. </t>
      </text>
    </comment>
    <comment ref="C20" authorId="1" shapeId="0" xr:uid="{D64D2B2A-CDDC-4FB9-9212-9B0A64FDBF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Annualize the production, 8 h, 5 days/w, 52 w/yr. Needs to adjust for seasonality, if any. </t>
      </text>
    </comment>
  </commentList>
</comments>
</file>

<file path=xl/sharedStrings.xml><?xml version="1.0" encoding="utf-8"?>
<sst xmlns="http://schemas.openxmlformats.org/spreadsheetml/2006/main" count="251" uniqueCount="119">
  <si>
    <t>Customize dark green cells</t>
  </si>
  <si>
    <t>Sorting System</t>
  </si>
  <si>
    <t>Processing plant</t>
  </si>
  <si>
    <t>Species</t>
  </si>
  <si>
    <t>Surf clams and Ocean Quahogs</t>
  </si>
  <si>
    <t>Labor (FTE without system)</t>
  </si>
  <si>
    <t>Labor (FTE with system)</t>
  </si>
  <si>
    <t>Wage ($/h)</t>
  </si>
  <si>
    <t>Mixing ratio</t>
  </si>
  <si>
    <t>Processing rate (cages/hour)</t>
  </si>
  <si>
    <t>Ocean quahog (pieces/second)</t>
  </si>
  <si>
    <t>Surf clam (pieces/second)</t>
  </si>
  <si>
    <t>Rejection  Ocean quahogs</t>
  </si>
  <si>
    <t>Rejection  surf clams</t>
  </si>
  <si>
    <t>Number of sorting systems</t>
  </si>
  <si>
    <t>Number of belts/system</t>
  </si>
  <si>
    <t>Coversions and assumptions</t>
  </si>
  <si>
    <t>Average size of belt (ft)</t>
  </si>
  <si>
    <t>options are 2, 4, 5 or 7</t>
  </si>
  <si>
    <t>Labor to match</t>
  </si>
  <si>
    <t>1 pieces/s</t>
  </si>
  <si>
    <t>Production pieces year</t>
  </si>
  <si>
    <t>Conversion</t>
  </si>
  <si>
    <t>Surf clam</t>
  </si>
  <si>
    <t>Ocean Quahog</t>
  </si>
  <si>
    <t>Ocean quahog (pieces/year)</t>
  </si>
  <si>
    <t>Cage</t>
  </si>
  <si>
    <t>Surf clam (pieces/year)</t>
  </si>
  <si>
    <t xml:space="preserve">Bushel </t>
  </si>
  <si>
    <t>Ocean quahog (lbs/year)</t>
  </si>
  <si>
    <t>Piece range per cage</t>
  </si>
  <si>
    <t>Surf clam (lbs/year)</t>
  </si>
  <si>
    <t xml:space="preserve"> </t>
  </si>
  <si>
    <t>Shucked Ocean quahog (lbs/year)</t>
  </si>
  <si>
    <t>Pieces per cage (avg)</t>
  </si>
  <si>
    <t>Shucked Surf clam (lbs/year)</t>
  </si>
  <si>
    <t xml:space="preserve">Avg lb/piece </t>
  </si>
  <si>
    <t>BUDGET UNIT IS ONE PROCESSING PLANT</t>
  </si>
  <si>
    <t>avg yield</t>
  </si>
  <si>
    <t>Equipment investment for shellfish sorting system</t>
  </si>
  <si>
    <t>Item</t>
  </si>
  <si>
    <t>Description</t>
  </si>
  <si>
    <t>Quantity</t>
  </si>
  <si>
    <t xml:space="preserve">Unit
Cost </t>
  </si>
  <si>
    <t>Total
Cost</t>
  </si>
  <si>
    <t>Useful
Life (yr)</t>
  </si>
  <si>
    <t>Annual
Depreciation</t>
  </si>
  <si>
    <t>Belt</t>
  </si>
  <si>
    <t xml:space="preserve">Singulation </t>
  </si>
  <si>
    <t>shaker</t>
  </si>
  <si>
    <t xml:space="preserve">Camera </t>
  </si>
  <si>
    <t>Rejection system</t>
  </si>
  <si>
    <t xml:space="preserve">Initiation software </t>
  </si>
  <si>
    <t xml:space="preserve"> System integration</t>
  </si>
  <si>
    <t>TOTAL EQUIPMENT INVESTMENT AND ANNUAL DEPRECIATION</t>
  </si>
  <si>
    <t>Annual costs and returns of shellfish sorting technology implementation</t>
  </si>
  <si>
    <t>Unit</t>
  </si>
  <si>
    <t xml:space="preserve">Price/unit </t>
  </si>
  <si>
    <t>Total value or cost</t>
  </si>
  <si>
    <t>Gross receipts</t>
  </si>
  <si>
    <t>Ocean quahogs</t>
  </si>
  <si>
    <t xml:space="preserve">Shell </t>
  </si>
  <si>
    <t>lb</t>
  </si>
  <si>
    <t>Surf clams</t>
  </si>
  <si>
    <t>Totals for both</t>
  </si>
  <si>
    <t>Variable costs</t>
  </si>
  <si>
    <t xml:space="preserve">Subscription </t>
  </si>
  <si>
    <t>Per year</t>
  </si>
  <si>
    <t xml:space="preserve">Maintainance </t>
  </si>
  <si>
    <t>Per day visit</t>
  </si>
  <si>
    <t xml:space="preserve">Compressed air </t>
  </si>
  <si>
    <t>for rejection system</t>
  </si>
  <si>
    <t>0.02 cents /piece</t>
  </si>
  <si>
    <t>Labor</t>
  </si>
  <si>
    <t>Without system</t>
  </si>
  <si>
    <t>$/yr</t>
  </si>
  <si>
    <t>With System</t>
  </si>
  <si>
    <t>Interest on operating capital</t>
  </si>
  <si>
    <t>With the system</t>
  </si>
  <si>
    <t>Partial Budget Analysis</t>
  </si>
  <si>
    <t>Total variable costs without system</t>
  </si>
  <si>
    <t>Additional revenue</t>
  </si>
  <si>
    <t>Total variable costs WITH system</t>
  </si>
  <si>
    <t>Reduced costs (labor and interest on operating capital)</t>
  </si>
  <si>
    <r>
      <t xml:space="preserve">Total additional </t>
    </r>
    <r>
      <rPr>
        <b/>
        <sz val="12"/>
        <color rgb="FF000000"/>
        <rFont val="Times New Roman"/>
        <family val="1"/>
      </rPr>
      <t>BENEFITS</t>
    </r>
  </si>
  <si>
    <t>Fixed costs</t>
  </si>
  <si>
    <t>Reduced revenue</t>
  </si>
  <si>
    <t>Interest on investment (equipment)</t>
  </si>
  <si>
    <t>Additional costs (subscription, maintenance, interest on investment, depreciation)</t>
  </si>
  <si>
    <t>Depreciation of equipment</t>
  </si>
  <si>
    <r>
      <t xml:space="preserve">Total additional </t>
    </r>
    <r>
      <rPr>
        <b/>
        <sz val="12"/>
        <color rgb="FF000000"/>
        <rFont val="Times New Roman"/>
        <family val="1"/>
      </rPr>
      <t>COSTS</t>
    </r>
  </si>
  <si>
    <t>Net Benefit cost</t>
  </si>
  <si>
    <t>Total fixed costs without system</t>
  </si>
  <si>
    <t>Total fixed costs WITH system</t>
  </si>
  <si>
    <t>DISCLAIMER</t>
  </si>
  <si>
    <t>Total cost without system</t>
  </si>
  <si>
    <t>This spreadsheet should be used for education purposes.</t>
  </si>
  <si>
    <t>Total cost WITH system</t>
  </si>
  <si>
    <t xml:space="preserve">It contains assumptions from limited data due to proprietary and confidential information. </t>
  </si>
  <si>
    <t xml:space="preserve">This tool allows for custom estimates. </t>
  </si>
  <si>
    <t>Net returns without system</t>
  </si>
  <si>
    <t>The research team is not responsible for individual estimates.</t>
  </si>
  <si>
    <t>Net returns WITH system</t>
  </si>
  <si>
    <t>It does not cover all variables that a company may encounter in real conditions.</t>
  </si>
  <si>
    <t>Labor unmixing rate (piece/second * person)</t>
  </si>
  <si>
    <t>In-Vessel 2 ft belt</t>
  </si>
  <si>
    <t>Vessel's cage capacity</t>
  </si>
  <si>
    <t>Number of trips/week</t>
  </si>
  <si>
    <t>Number of trips/year</t>
  </si>
  <si>
    <t>Hours/trip</t>
  </si>
  <si>
    <t>Time required to process cages (hours)</t>
  </si>
  <si>
    <t>BUDGET UNIT IS ONE VESSEL</t>
  </si>
  <si>
    <t>Shucked</t>
  </si>
  <si>
    <t>Reduced costs</t>
  </si>
  <si>
    <r>
      <t xml:space="preserve">Total additional </t>
    </r>
    <r>
      <rPr>
        <b/>
        <sz val="11"/>
        <color rgb="FF000000"/>
        <rFont val="Times New Roman"/>
        <family val="1"/>
      </rPr>
      <t>BENEFITS</t>
    </r>
  </si>
  <si>
    <t>Additional costs</t>
  </si>
  <si>
    <r>
      <t xml:space="preserve">Total additional </t>
    </r>
    <r>
      <rPr>
        <b/>
        <sz val="11"/>
        <color rgb="FF000000"/>
        <rFont val="Times New Roman"/>
        <family val="1"/>
      </rPr>
      <t>COSTS</t>
    </r>
  </si>
  <si>
    <t>Crew members (FTE without system)</t>
  </si>
  <si>
    <t>Crew members (FTE with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</si>
</sst>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[$$-409]#,##0.00;[Red]&quot;-&quot;[$$-409]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</numFmts>
  <fonts count="16"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Liberation Sans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6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Liberation Sans"/>
      <family val="2"/>
    </font>
  </fonts>
  <fills count="14">
    <fill>
      <patternFill patternType="none"/>
    </fill>
    <fill>
      <patternFill patternType="gray125"/>
    </fill>
    <fill>
      <patternFill patternType="solid">
        <fgColor rgb="FFFEFECA"/>
        <bgColor indexed="64"/>
      </patternFill>
    </fill>
    <fill>
      <patternFill patternType="solid">
        <fgColor rgb="FFDDEBF7"/>
        <bgColor rgb="FFFEFECA"/>
      </patternFill>
    </fill>
    <fill>
      <patternFill patternType="solid">
        <fgColor rgb="FFDDEBF7"/>
        <bgColor rgb="FFFCFCBD"/>
      </patternFill>
    </fill>
    <fill>
      <patternFill patternType="solid">
        <fgColor rgb="FFD9FCC8"/>
        <bgColor rgb="FFD9FCC8"/>
      </patternFill>
    </fill>
    <fill>
      <patternFill patternType="solid">
        <fgColor rgb="FFD9FCC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</patternFill>
    </fill>
    <fill>
      <patternFill patternType="solid">
        <fgColor theme="9"/>
        <bgColor rgb="FFD9FCC8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6" fontId="2" fillId="0" borderId="0" applyBorder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2" borderId="24" applyNumberFormat="0" applyFont="0" applyAlignment="0" applyProtection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3" fontId="4" fillId="0" borderId="0" xfId="0" applyNumberFormat="1" applyFont="1"/>
    <xf numFmtId="0" fontId="3" fillId="2" borderId="7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/>
    </xf>
    <xf numFmtId="167" fontId="4" fillId="0" borderId="0" xfId="5" applyNumberFormat="1" applyFont="1" applyFill="1" applyBorder="1"/>
    <xf numFmtId="0" fontId="4" fillId="2" borderId="0" xfId="0" applyFont="1" applyFill="1"/>
    <xf numFmtId="0" fontId="3" fillId="2" borderId="1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3" xfId="0" applyFont="1" applyFill="1" applyBorder="1"/>
    <xf numFmtId="1" fontId="4" fillId="3" borderId="3" xfId="0" applyNumberFormat="1" applyFont="1" applyFill="1" applyBorder="1"/>
    <xf numFmtId="0" fontId="4" fillId="3" borderId="4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167" fontId="4" fillId="3" borderId="3" xfId="5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167" fontId="4" fillId="3" borderId="10" xfId="5" applyNumberFormat="1" applyFont="1" applyFill="1" applyBorder="1"/>
    <xf numFmtId="0" fontId="7" fillId="0" borderId="0" xfId="0" applyFont="1"/>
    <xf numFmtId="167" fontId="7" fillId="0" borderId="0" xfId="5" applyNumberFormat="1" applyFont="1" applyFill="1" applyBorder="1" applyProtection="1">
      <protection locked="0"/>
    </xf>
    <xf numFmtId="3" fontId="7" fillId="0" borderId="0" xfId="5" applyNumberFormat="1" applyFont="1" applyFill="1" applyBorder="1" applyAlignment="1">
      <alignment horizontal="center" vertical="center"/>
    </xf>
    <xf numFmtId="8" fontId="7" fillId="0" borderId="0" xfId="0" applyNumberFormat="1" applyFont="1"/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3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0" fontId="3" fillId="5" borderId="7" xfId="0" applyFont="1" applyFill="1" applyBorder="1"/>
    <xf numFmtId="0" fontId="4" fillId="5" borderId="0" xfId="0" applyFont="1" applyFill="1"/>
    <xf numFmtId="4" fontId="4" fillId="5" borderId="0" xfId="0" applyNumberFormat="1" applyFont="1" applyFill="1"/>
    <xf numFmtId="0" fontId="4" fillId="5" borderId="0" xfId="0" applyFont="1" applyFill="1" applyAlignment="1">
      <alignment horizontal="center"/>
    </xf>
    <xf numFmtId="0" fontId="4" fillId="5" borderId="7" xfId="0" applyFont="1" applyFill="1" applyBorder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6" fontId="4" fillId="5" borderId="0" xfId="0" applyNumberFormat="1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5" borderId="7" xfId="0" applyFont="1" applyFill="1" applyBorder="1"/>
    <xf numFmtId="3" fontId="4" fillId="5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right"/>
    </xf>
    <xf numFmtId="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3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" fontId="4" fillId="6" borderId="0" xfId="0" applyNumberFormat="1" applyFont="1" applyFill="1" applyAlignment="1">
      <alignment horizontal="right"/>
    </xf>
    <xf numFmtId="168" fontId="4" fillId="5" borderId="6" xfId="6" applyNumberFormat="1" applyFont="1" applyFill="1" applyBorder="1" applyAlignment="1">
      <alignment horizontal="right"/>
    </xf>
    <xf numFmtId="168" fontId="4" fillId="5" borderId="6" xfId="6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5" borderId="5" xfId="0" applyFont="1" applyFill="1" applyBorder="1" applyAlignment="1">
      <alignment horizontal="right"/>
    </xf>
    <xf numFmtId="168" fontId="4" fillId="5" borderId="6" xfId="6" applyNumberFormat="1" applyFont="1" applyFill="1" applyBorder="1" applyAlignment="1"/>
    <xf numFmtId="168" fontId="3" fillId="5" borderId="6" xfId="6" applyNumberFormat="1" applyFont="1" applyFill="1" applyBorder="1" applyAlignment="1"/>
    <xf numFmtId="0" fontId="4" fillId="5" borderId="5" xfId="0" applyFont="1" applyFill="1" applyBorder="1"/>
    <xf numFmtId="4" fontId="4" fillId="5" borderId="5" xfId="0" applyNumberFormat="1" applyFont="1" applyFill="1" applyBorder="1" applyAlignment="1">
      <alignment horizontal="center"/>
    </xf>
    <xf numFmtId="168" fontId="4" fillId="5" borderId="9" xfId="6" applyNumberFormat="1" applyFont="1" applyFill="1" applyBorder="1" applyAlignment="1"/>
    <xf numFmtId="3" fontId="4" fillId="5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3" fillId="3" borderId="21" xfId="0" applyFont="1" applyFill="1" applyBorder="1" applyAlignment="1">
      <alignment horizontal="center"/>
    </xf>
    <xf numFmtId="0" fontId="3" fillId="3" borderId="7" xfId="0" applyFont="1" applyFill="1" applyBorder="1"/>
    <xf numFmtId="0" fontId="4" fillId="3" borderId="0" xfId="0" applyFont="1" applyFill="1" applyAlignment="1">
      <alignment horizontal="right"/>
    </xf>
    <xf numFmtId="168" fontId="4" fillId="3" borderId="0" xfId="6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3" fillId="7" borderId="7" xfId="0" applyFont="1" applyFill="1" applyBorder="1"/>
    <xf numFmtId="0" fontId="3" fillId="3" borderId="16" xfId="0" applyFont="1" applyFill="1" applyBorder="1"/>
    <xf numFmtId="165" fontId="3" fillId="2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2" borderId="6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9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right"/>
    </xf>
    <xf numFmtId="1" fontId="4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5" fontId="3" fillId="10" borderId="14" xfId="0" applyNumberFormat="1" applyFont="1" applyFill="1" applyBorder="1" applyAlignment="1">
      <alignment horizontal="left"/>
    </xf>
    <xf numFmtId="165" fontId="3" fillId="10" borderId="15" xfId="0" applyNumberFormat="1" applyFont="1" applyFill="1" applyBorder="1" applyAlignment="1">
      <alignment horizontal="center"/>
    </xf>
    <xf numFmtId="0" fontId="3" fillId="10" borderId="22" xfId="0" applyFont="1" applyFill="1" applyBorder="1" applyAlignment="1">
      <alignment horizontal="left"/>
    </xf>
    <xf numFmtId="0" fontId="7" fillId="9" borderId="0" xfId="0" applyFont="1" applyFill="1" applyAlignment="1">
      <alignment horizontal="left"/>
    </xf>
    <xf numFmtId="9" fontId="7" fillId="9" borderId="0" xfId="5" applyNumberFormat="1" applyFont="1" applyFill="1" applyBorder="1" applyAlignment="1" applyProtection="1">
      <alignment horizontal="left"/>
      <protection locked="0"/>
    </xf>
    <xf numFmtId="44" fontId="4" fillId="6" borderId="0" xfId="6" applyFont="1" applyFill="1" applyAlignment="1">
      <alignment horizontal="right" vertical="center"/>
    </xf>
    <xf numFmtId="44" fontId="4" fillId="5" borderId="0" xfId="6" applyFont="1" applyFill="1" applyAlignment="1">
      <alignment horizontal="right"/>
    </xf>
    <xf numFmtId="44" fontId="4" fillId="6" borderId="0" xfId="6" applyFont="1" applyFill="1" applyAlignment="1">
      <alignment horizontal="right"/>
    </xf>
    <xf numFmtId="44" fontId="4" fillId="5" borderId="0" xfId="6" applyFont="1" applyFill="1"/>
    <xf numFmtId="168" fontId="4" fillId="5" borderId="6" xfId="0" applyNumberFormat="1" applyFont="1" applyFill="1" applyBorder="1"/>
    <xf numFmtId="168" fontId="3" fillId="5" borderId="6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4" fontId="4" fillId="3" borderId="0" xfId="0" applyNumberFormat="1" applyFont="1" applyFill="1" applyAlignment="1">
      <alignment horizontal="right"/>
    </xf>
    <xf numFmtId="168" fontId="4" fillId="3" borderId="0" xfId="6" applyNumberFormat="1" applyFont="1" applyFill="1" applyBorder="1" applyAlignment="1">
      <alignment horizontal="right"/>
    </xf>
    <xf numFmtId="0" fontId="7" fillId="10" borderId="17" xfId="0" applyFont="1" applyFill="1" applyBorder="1" applyAlignment="1">
      <alignment horizontal="center"/>
    </xf>
    <xf numFmtId="0" fontId="6" fillId="0" borderId="0" xfId="0" applyFont="1"/>
    <xf numFmtId="0" fontId="4" fillId="10" borderId="13" xfId="0" applyFont="1" applyFill="1" applyBorder="1"/>
    <xf numFmtId="0" fontId="4" fillId="10" borderId="6" xfId="0" applyFont="1" applyFill="1" applyBorder="1"/>
    <xf numFmtId="0" fontId="4" fillId="2" borderId="13" xfId="0" applyFont="1" applyFill="1" applyBorder="1"/>
    <xf numFmtId="0" fontId="4" fillId="10" borderId="7" xfId="0" applyFont="1" applyFill="1" applyBorder="1"/>
    <xf numFmtId="0" fontId="4" fillId="10" borderId="0" xfId="0" applyFont="1" applyFill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4" fillId="2" borderId="12" xfId="0" applyFont="1" applyFill="1" applyBorder="1" applyAlignment="1">
      <alignment horizontal="right"/>
    </xf>
    <xf numFmtId="0" fontId="4" fillId="10" borderId="8" xfId="0" applyFont="1" applyFill="1" applyBorder="1"/>
    <xf numFmtId="9" fontId="4" fillId="10" borderId="5" xfId="0" applyNumberFormat="1" applyFont="1" applyFill="1" applyBorder="1" applyAlignment="1">
      <alignment horizontal="center"/>
    </xf>
    <xf numFmtId="9" fontId="4" fillId="10" borderId="9" xfId="0" applyNumberFormat="1" applyFont="1" applyFill="1" applyBorder="1" applyAlignment="1">
      <alignment horizontal="center"/>
    </xf>
    <xf numFmtId="0" fontId="4" fillId="7" borderId="5" xfId="0" applyFont="1" applyFill="1" applyBorder="1"/>
    <xf numFmtId="4" fontId="4" fillId="0" borderId="0" xfId="0" applyNumberFormat="1" applyFont="1" applyAlignment="1">
      <alignment horizontal="right"/>
    </xf>
    <xf numFmtId="0" fontId="4" fillId="5" borderId="6" xfId="0" applyFont="1" applyFill="1" applyBorder="1"/>
    <xf numFmtId="0" fontId="4" fillId="5" borderId="0" xfId="0" applyFont="1" applyFill="1" applyAlignment="1">
      <alignment horizontal="center" vertical="center"/>
    </xf>
    <xf numFmtId="0" fontId="8" fillId="8" borderId="11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6" fillId="8" borderId="14" xfId="0" applyFont="1" applyFill="1" applyBorder="1"/>
    <xf numFmtId="0" fontId="6" fillId="8" borderId="15" xfId="0" applyFont="1" applyFill="1" applyBorder="1" applyAlignment="1">
      <alignment horizontal="right"/>
    </xf>
    <xf numFmtId="0" fontId="6" fillId="8" borderId="15" xfId="0" applyFont="1" applyFill="1" applyBorder="1"/>
    <xf numFmtId="0" fontId="6" fillId="8" borderId="18" xfId="0" applyFont="1" applyFill="1" applyBorder="1"/>
    <xf numFmtId="0" fontId="6" fillId="8" borderId="7" xfId="0" applyFont="1" applyFill="1" applyBorder="1"/>
    <xf numFmtId="0" fontId="6" fillId="8" borderId="0" xfId="0" applyFont="1" applyFill="1" applyAlignment="1">
      <alignment horizontal="right"/>
    </xf>
    <xf numFmtId="0" fontId="6" fillId="8" borderId="0" xfId="0" applyFont="1" applyFill="1"/>
    <xf numFmtId="168" fontId="6" fillId="8" borderId="6" xfId="0" applyNumberFormat="1" applyFont="1" applyFill="1" applyBorder="1"/>
    <xf numFmtId="0" fontId="6" fillId="8" borderId="8" xfId="0" applyFont="1" applyFill="1" applyBorder="1"/>
    <xf numFmtId="0" fontId="6" fillId="8" borderId="5" xfId="0" applyFont="1" applyFill="1" applyBorder="1" applyAlignment="1">
      <alignment horizontal="right"/>
    </xf>
    <xf numFmtId="0" fontId="6" fillId="8" borderId="5" xfId="0" applyFont="1" applyFill="1" applyBorder="1"/>
    <xf numFmtId="168" fontId="6" fillId="8" borderId="9" xfId="0" applyNumberFormat="1" applyFont="1" applyFill="1" applyBorder="1"/>
    <xf numFmtId="0" fontId="6" fillId="8" borderId="6" xfId="0" applyFont="1" applyFill="1" applyBorder="1"/>
    <xf numFmtId="0" fontId="8" fillId="8" borderId="8" xfId="0" applyFont="1" applyFill="1" applyBorder="1"/>
    <xf numFmtId="168" fontId="8" fillId="8" borderId="9" xfId="0" applyNumberFormat="1" applyFont="1" applyFill="1" applyBorder="1"/>
    <xf numFmtId="0" fontId="9" fillId="9" borderId="14" xfId="0" applyFont="1" applyFill="1" applyBorder="1" applyAlignment="1">
      <alignment horizontal="left"/>
    </xf>
    <xf numFmtId="0" fontId="6" fillId="9" borderId="0" xfId="0" applyFont="1" applyFill="1" applyAlignment="1">
      <alignment horizontal="left"/>
    </xf>
    <xf numFmtId="0" fontId="10" fillId="9" borderId="7" xfId="0" applyFont="1" applyFill="1" applyBorder="1" applyAlignment="1">
      <alignment horizontal="left"/>
    </xf>
    <xf numFmtId="0" fontId="10" fillId="9" borderId="8" xfId="0" applyFont="1" applyFill="1" applyBorder="1" applyAlignment="1">
      <alignment horizontal="left"/>
    </xf>
    <xf numFmtId="0" fontId="3" fillId="8" borderId="11" xfId="0" applyFont="1" applyFill="1" applyBorder="1"/>
    <xf numFmtId="0" fontId="3" fillId="8" borderId="12" xfId="0" applyFont="1" applyFill="1" applyBorder="1"/>
    <xf numFmtId="0" fontId="3" fillId="8" borderId="13" xfId="0" applyFont="1" applyFill="1" applyBorder="1"/>
    <xf numFmtId="0" fontId="4" fillId="8" borderId="14" xfId="0" applyFont="1" applyFill="1" applyBorder="1"/>
    <xf numFmtId="0" fontId="4" fillId="8" borderId="15" xfId="0" applyFont="1" applyFill="1" applyBorder="1" applyAlignment="1">
      <alignment horizontal="right"/>
    </xf>
    <xf numFmtId="0" fontId="4" fillId="8" borderId="15" xfId="0" applyFont="1" applyFill="1" applyBorder="1"/>
    <xf numFmtId="0" fontId="4" fillId="8" borderId="18" xfId="0" applyFont="1" applyFill="1" applyBorder="1"/>
    <xf numFmtId="0" fontId="4" fillId="8" borderId="7" xfId="0" applyFont="1" applyFill="1" applyBorder="1"/>
    <xf numFmtId="0" fontId="4" fillId="8" borderId="0" xfId="0" applyFont="1" applyFill="1" applyAlignment="1">
      <alignment horizontal="right"/>
    </xf>
    <xf numFmtId="0" fontId="4" fillId="8" borderId="0" xfId="0" applyFont="1" applyFill="1"/>
    <xf numFmtId="168" fontId="4" fillId="8" borderId="6" xfId="0" applyNumberFormat="1" applyFont="1" applyFill="1" applyBorder="1"/>
    <xf numFmtId="0" fontId="4" fillId="8" borderId="8" xfId="0" applyFont="1" applyFill="1" applyBorder="1"/>
    <xf numFmtId="0" fontId="4" fillId="8" borderId="5" xfId="0" applyFont="1" applyFill="1" applyBorder="1" applyAlignment="1">
      <alignment horizontal="right"/>
    </xf>
    <xf numFmtId="0" fontId="4" fillId="8" borderId="5" xfId="0" applyFont="1" applyFill="1" applyBorder="1"/>
    <xf numFmtId="168" fontId="4" fillId="8" borderId="9" xfId="0" applyNumberFormat="1" applyFont="1" applyFill="1" applyBorder="1"/>
    <xf numFmtId="0" fontId="4" fillId="8" borderId="6" xfId="0" applyFont="1" applyFill="1" applyBorder="1"/>
    <xf numFmtId="0" fontId="3" fillId="8" borderId="8" xfId="0" applyFont="1" applyFill="1" applyBorder="1"/>
    <xf numFmtId="168" fontId="3" fillId="8" borderId="9" xfId="0" applyNumberFormat="1" applyFont="1" applyFill="1" applyBorder="1"/>
    <xf numFmtId="0" fontId="11" fillId="9" borderId="14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12" fillId="9" borderId="7" xfId="0" applyFont="1" applyFill="1" applyBorder="1" applyAlignment="1">
      <alignment horizontal="left"/>
    </xf>
    <xf numFmtId="0" fontId="12" fillId="9" borderId="8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9" xfId="0" applyFont="1" applyFill="1" applyBorder="1"/>
    <xf numFmtId="168" fontId="13" fillId="3" borderId="4" xfId="6" applyNumberFormat="1" applyFont="1" applyFill="1" applyBorder="1" applyAlignment="1">
      <alignment horizontal="center"/>
    </xf>
    <xf numFmtId="168" fontId="13" fillId="3" borderId="4" xfId="6" applyNumberFormat="1" applyFont="1" applyFill="1" applyBorder="1" applyAlignment="1"/>
    <xf numFmtId="0" fontId="14" fillId="2" borderId="6" xfId="0" applyFont="1" applyFill="1" applyBorder="1" applyAlignment="1">
      <alignment horizontal="center"/>
    </xf>
    <xf numFmtId="0" fontId="15" fillId="0" borderId="0" xfId="0" applyFont="1"/>
    <xf numFmtId="10" fontId="4" fillId="5" borderId="0" xfId="6" applyNumberFormat="1" applyFont="1" applyFill="1" applyAlignment="1">
      <alignment horizontal="right"/>
    </xf>
    <xf numFmtId="3" fontId="4" fillId="12" borderId="24" xfId="7" applyNumberFormat="1" applyFont="1" applyAlignment="1" applyProtection="1">
      <alignment horizontal="right"/>
    </xf>
    <xf numFmtId="0" fontId="4" fillId="11" borderId="0" xfId="0" applyFont="1" applyFill="1" applyAlignment="1" applyProtection="1">
      <alignment horizontal="right"/>
      <protection locked="0"/>
    </xf>
    <xf numFmtId="9" fontId="7" fillId="11" borderId="0" xfId="0" applyNumberFormat="1" applyFont="1" applyFill="1" applyAlignment="1" applyProtection="1">
      <alignment horizontal="right"/>
      <protection locked="0"/>
    </xf>
    <xf numFmtId="1" fontId="4" fillId="11" borderId="0" xfId="0" applyNumberFormat="1" applyFont="1" applyFill="1" applyAlignment="1" applyProtection="1">
      <alignment horizontal="right"/>
      <protection locked="0"/>
    </xf>
    <xf numFmtId="169" fontId="4" fillId="5" borderId="0" xfId="6" applyNumberFormat="1" applyFont="1" applyFill="1" applyAlignment="1" applyProtection="1">
      <alignment horizontal="right"/>
      <protection locked="0"/>
    </xf>
    <xf numFmtId="169" fontId="4" fillId="13" borderId="0" xfId="6" applyNumberFormat="1" applyFont="1" applyFill="1" applyAlignment="1" applyProtection="1">
      <alignment horizontal="right"/>
      <protection locked="0"/>
    </xf>
    <xf numFmtId="44" fontId="4" fillId="11" borderId="0" xfId="6" applyFont="1" applyFill="1" applyAlignment="1" applyProtection="1">
      <alignment horizontal="right" vertic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7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</cellXfs>
  <cellStyles count="8">
    <cellStyle name="Comma" xfId="5" builtinId="3"/>
    <cellStyle name="Currency" xfId="6" builtinId="4"/>
    <cellStyle name="Heading" xfId="1" xr:uid="{00000000-0005-0000-0000-000001000000}"/>
    <cellStyle name="Heading1" xfId="2" xr:uid="{00000000-0005-0000-0000-000002000000}"/>
    <cellStyle name="Normal" xfId="0" builtinId="0" customBuiltin="1"/>
    <cellStyle name="Note" xfId="7" builtinId="10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colors>
    <mruColors>
      <color rgb="FFD9FCC8"/>
      <color rgb="FFCCFFCC"/>
      <color rgb="FFFEFECA"/>
      <color rgb="FFDDEBF7"/>
      <color rgb="FFFCE4D6"/>
      <color rgb="FFEEEEEE"/>
      <color rgb="FFBDD7EE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Equipment investments</a:t>
            </a:r>
            <a:br>
              <a:rPr lang="en-US"/>
            </a:br>
            <a:r>
              <a:rPr lang="en-US"/>
              <a:t>Custom scenarios - Processing Plant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CB-4E29-AD07-A426FFE800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CB-4E29-AD07-A426FFE800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CB-4E29-AD07-A426FFE800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CB-4E29-AD07-A426FFE80024}"/>
              </c:ext>
            </c:extLst>
          </c:dPt>
          <c:dLbls>
            <c:dLbl>
              <c:idx val="3"/>
              <c:layout>
                <c:manualLayout>
                  <c:x val="1.4612423447069091E-2"/>
                  <c:y val="0.1361717880365202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B-4E29-AD07-A426FFE8002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'Plant Custom tool'!$B$30:$B$33</c:f>
              <c:strCache>
                <c:ptCount val="4"/>
                <c:pt idx="0">
                  <c:v>Singulation </c:v>
                </c:pt>
                <c:pt idx="1">
                  <c:v>Camera </c:v>
                </c:pt>
                <c:pt idx="2">
                  <c:v>Rejection system</c:v>
                </c:pt>
                <c:pt idx="3">
                  <c:v>Initiation software </c:v>
                </c:pt>
              </c:strCache>
            </c:strRef>
          </c:cat>
          <c:val>
            <c:numRef>
              <c:f>'Plant Custom tool'!$F$30:$F$33</c:f>
              <c:numCache>
                <c:formatCode>_("$"* #,##0_);_("$"* \(#,##0\);_("$"* "-"??_);_(@_)</c:formatCode>
                <c:ptCount val="4"/>
                <c:pt idx="0">
                  <c:v>20000</c:v>
                </c:pt>
                <c:pt idx="1">
                  <c:v>230000</c:v>
                </c:pt>
                <c:pt idx="2">
                  <c:v>220000</c:v>
                </c:pt>
                <c:pt idx="3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CB-4E29-AD07-A426FFE800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o</a:t>
            </a:r>
            <a:r>
              <a:rPr lang="en-US"/>
              <a:t>perating costs</a:t>
            </a:r>
            <a:br>
              <a:rPr lang="en-US"/>
            </a:br>
            <a:r>
              <a:rPr lang="en-US"/>
              <a:t>Custom Scenario - Processing Plant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57-4501-B49A-DE95759098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57-4501-B49A-DE95759098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57-4501-B49A-DE95759098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57-4501-B49A-DE95759098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57-4501-B49A-DE95759098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F57-4501-B49A-DE95759098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F57-4501-B49A-DE95759098B4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('Plant Custom tool'!$B$45,'Plant Custom tool'!$B$46,'Plant Custom tool'!$B$47,'Plant Custom tool'!$B$49,'Plant Custom tool'!$B$51,'Plant Custom tool'!$B$56:$C$56,'Plant Custom tool'!$B$57)</c:f>
              <c:strCache>
                <c:ptCount val="7"/>
                <c:pt idx="0">
                  <c:v>Subscription </c:v>
                </c:pt>
                <c:pt idx="1">
                  <c:v>Maintainance </c:v>
                </c:pt>
                <c:pt idx="2">
                  <c:v>Compressed air </c:v>
                </c:pt>
                <c:pt idx="3">
                  <c:v>Labor</c:v>
                </c:pt>
                <c:pt idx="4">
                  <c:v>Interest on operating capital</c:v>
                </c:pt>
                <c:pt idx="5">
                  <c:v>Interest on investment (equipment)</c:v>
                </c:pt>
                <c:pt idx="6">
                  <c:v>Depreciation of equipment</c:v>
                </c:pt>
              </c:strCache>
            </c:strRef>
          </c:cat>
          <c:val>
            <c:numRef>
              <c:f>('Plant Custom tool'!$G$45,'Plant Custom tool'!$G$46,'Plant Custom tool'!$G$47,'Plant Custom tool'!$G$49,'Plant Custom tool'!$G$51,'Plant Custom tool'!$G$56,'Plant Custom tool'!$G$57)</c:f>
              <c:numCache>
                <c:formatCode>_("$"* #,##0_);_("$"* \(#,##0\);_("$"* "-"??_);_(@_)</c:formatCode>
                <c:ptCount val="7"/>
                <c:pt idx="0">
                  <c:v>10040</c:v>
                </c:pt>
                <c:pt idx="1">
                  <c:v>3000</c:v>
                </c:pt>
                <c:pt idx="2">
                  <c:v>6995.7888000000003</c:v>
                </c:pt>
                <c:pt idx="3">
                  <c:v>41600</c:v>
                </c:pt>
                <c:pt idx="4">
                  <c:v>3081.7894400000005</c:v>
                </c:pt>
                <c:pt idx="5">
                  <c:v>25000</c:v>
                </c:pt>
                <c:pt idx="6">
                  <c:v>47000.000030000003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7-4501-B49A-DE95759098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48031496062987"/>
          <c:y val="0.38196559870017605"/>
          <c:w val="0.33296412948381454"/>
          <c:h val="0.4278552933402275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Equipment investments</a:t>
            </a:r>
            <a:br>
              <a:rPr lang="en-US"/>
            </a:br>
            <a:r>
              <a:rPr lang="en-US"/>
              <a:t>Custom scenarios - Fishing</a:t>
            </a:r>
            <a:r>
              <a:rPr lang="en-US" baseline="0"/>
              <a:t> </a:t>
            </a:r>
            <a:r>
              <a:rPr lang="en-US"/>
              <a:t>Vessel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3B-49F2-8BC0-A9AC519EAC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3B-49F2-8BC0-A9AC519EAC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3B-49F2-8BC0-A9AC519EAC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3B-49F2-8BC0-A9AC519EACB2}"/>
              </c:ext>
            </c:extLst>
          </c:dPt>
          <c:dLbls>
            <c:dLbl>
              <c:idx val="3"/>
              <c:layout>
                <c:manualLayout>
                  <c:x val="1.4612423447069091E-2"/>
                  <c:y val="0.1361717880365202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3B-49F2-8BC0-A9AC519EACB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('Vessel Custom tool'!$B$28,'Vessel Custom tool'!$B$29,'Vessel Custom tool'!$B$30,'Vessel Custom tool'!$B$31)</c:f>
              <c:strCache>
                <c:ptCount val="4"/>
                <c:pt idx="0">
                  <c:v>Singulation </c:v>
                </c:pt>
                <c:pt idx="1">
                  <c:v>Camera </c:v>
                </c:pt>
                <c:pt idx="2">
                  <c:v>Rejection system</c:v>
                </c:pt>
                <c:pt idx="3">
                  <c:v>Initiation software </c:v>
                </c:pt>
              </c:strCache>
            </c:strRef>
          </c:cat>
          <c:val>
            <c:numRef>
              <c:f>'Vessel Custom tool'!$F$28:$F$31</c:f>
              <c:numCache>
                <c:formatCode>_("$"* #,##0_);_("$"* \(#,##0\);_("$"* "-"??_);_(@_)</c:formatCode>
                <c:ptCount val="4"/>
                <c:pt idx="0">
                  <c:v>20000</c:v>
                </c:pt>
                <c:pt idx="1">
                  <c:v>175000</c:v>
                </c:pt>
                <c:pt idx="2">
                  <c:v>150000</c:v>
                </c:pt>
                <c:pt idx="3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3B-49F2-8BC0-A9AC519EAC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o</a:t>
            </a:r>
            <a:r>
              <a:rPr lang="en-US"/>
              <a:t>perating costs</a:t>
            </a:r>
            <a:br>
              <a:rPr lang="en-US"/>
            </a:br>
            <a:r>
              <a:rPr lang="en-US"/>
              <a:t>Custom Scenario - Fishing Vessel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32-41AB-9DF6-A0D628ECB3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32-41AB-9DF6-A0D628ECB3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32-41AB-9DF6-A0D628ECB3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632-41AB-9DF6-A0D628ECB3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632-41AB-9DF6-A0D628ECB3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632-41AB-9DF6-A0D628ECB3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632-41AB-9DF6-A0D628ECB33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('Vessel Custom tool'!$B$43,'Vessel Custom tool'!$B$44,'Vessel Custom tool'!$B$45,'Vessel Custom tool'!$B$47,'Vessel Custom tool'!$B$49,'Vessel Custom tool'!$B$54:$C$54,'Vessel Custom tool'!$B$55)</c:f>
              <c:strCache>
                <c:ptCount val="7"/>
                <c:pt idx="0">
                  <c:v>Subscription </c:v>
                </c:pt>
                <c:pt idx="1">
                  <c:v>Maintainance </c:v>
                </c:pt>
                <c:pt idx="2">
                  <c:v>Compressed air </c:v>
                </c:pt>
                <c:pt idx="3">
                  <c:v>Labor</c:v>
                </c:pt>
                <c:pt idx="4">
                  <c:v>Interest on operating capital</c:v>
                </c:pt>
                <c:pt idx="5">
                  <c:v>Interest on investment (equipment)</c:v>
                </c:pt>
                <c:pt idx="6">
                  <c:v>Depreciation of equipment</c:v>
                </c:pt>
              </c:strCache>
            </c:strRef>
          </c:cat>
          <c:val>
            <c:numRef>
              <c:f>('Vessel Custom tool'!$G$43,'Vessel Custom tool'!$G$44,'Vessel Custom tool'!$G$45,'Vessel Custom tool'!$G$47,'Vessel Custom tool'!$G$49,'Vessel Custom tool'!$G$54,'Vessel Custom tool'!$G$55)</c:f>
              <c:numCache>
                <c:formatCode>_("$"* #,##0_);_("$"* \(#,##0\);_("$"* "-"??_);_(@_)</c:formatCode>
                <c:ptCount val="7"/>
                <c:pt idx="0">
                  <c:v>10040</c:v>
                </c:pt>
                <c:pt idx="1">
                  <c:v>3000</c:v>
                </c:pt>
                <c:pt idx="2">
                  <c:v>11300.8896</c:v>
                </c:pt>
                <c:pt idx="3">
                  <c:v>124800</c:v>
                </c:pt>
                <c:pt idx="4">
                  <c:v>7457.0444800000005</c:v>
                </c:pt>
                <c:pt idx="5">
                  <c:v>18750</c:v>
                </c:pt>
                <c:pt idx="6">
                  <c:v>34500.000030000003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32-41AB-9DF6-A0D628ECB3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48031496062987"/>
          <c:y val="0.38196559870017605"/>
          <c:w val="0.33296412948381454"/>
          <c:h val="0.4278552933402275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189607</xdr:colOff>
      <xdr:row>9</xdr:row>
      <xdr:rowOff>43634</xdr:rowOff>
    </xdr:from>
    <xdr:to>
      <xdr:col>12</xdr:col>
      <xdr:colOff>52536</xdr:colOff>
      <xdr:row>26</xdr:row>
      <xdr:rowOff>134982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56764C-DD10-4126-95FD-97938B404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211281</xdr:colOff>
      <xdr:row>28</xdr:row>
      <xdr:rowOff>50655</xdr:rowOff>
    </xdr:from>
    <xdr:to>
      <xdr:col>12</xdr:col>
      <xdr:colOff>95638</xdr:colOff>
      <xdr:row>45</xdr:row>
      <xdr:rowOff>139851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807B83-4C24-45AB-92A7-8605D6579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46812</xdr:colOff>
      <xdr:row>8</xdr:row>
      <xdr:rowOff>60363</xdr:rowOff>
    </xdr:from>
    <xdr:to>
      <xdr:col>11</xdr:col>
      <xdr:colOff>1041855</xdr:colOff>
      <xdr:row>25</xdr:row>
      <xdr:rowOff>44215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BDC2D-6A46-4AF8-B9F4-57239E4A7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135081</xdr:colOff>
      <xdr:row>27</xdr:row>
      <xdr:rowOff>17998</xdr:rowOff>
    </xdr:from>
    <xdr:to>
      <xdr:col>12</xdr:col>
      <xdr:colOff>19438</xdr:colOff>
      <xdr:row>44</xdr:row>
      <xdr:rowOff>103112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EEABB4-7E14-48A8-AC66-EE02E5F02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oncalves, Fernando" id="{38357AA0-D333-49EC-93D0-C9CB2018FDC6}" userId="S::ocfernando@vt.edu::380bcf2d-71e0-4bde-878c-5548851ab9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02-28T15:13:12.39" personId="{38357AA0-D333-49EC-93D0-C9CB2018FDC6}" id="{F25C3B18-F2B6-4008-A3B2-759EAEF1A323}">
    <text xml:space="preserve">Annualize the production, 8 h, 5 days/w, 52 w/yr. Needs to adjust for seasonality, if any. </text>
  </threadedComment>
  <threadedComment ref="C20" dT="2024-02-28T15:13:20.19" personId="{38357AA0-D333-49EC-93D0-C9CB2018FDC6}" id="{D64D2B2A-CDDC-4FB9-9212-9B0A64FDBF6F}">
    <text xml:space="preserve">Annualize the production, 8 h, 5 days/w, 52 w/yr. Needs to adjust for seasonality, if any.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D004-E1E9-43E6-91F1-8B0F4ED78D87}">
  <dimension ref="A1:P67"/>
  <sheetViews>
    <sheetView tabSelected="1" zoomScale="110" zoomScaleNormal="110" workbookViewId="0">
      <selection activeCell="C11" sqref="C11"/>
    </sheetView>
  </sheetViews>
  <sheetFormatPr defaultRowHeight="15.6"/>
  <cols>
    <col min="1" max="1" width="1.59765625" style="2" customWidth="1"/>
    <col min="2" max="2" width="34.3984375" style="2" customWidth="1"/>
    <col min="3" max="3" width="20.3984375" style="66" customWidth="1"/>
    <col min="4" max="4" width="22.8984375" style="2" bestFit="1" customWidth="1"/>
    <col min="5" max="5" width="22" style="2" customWidth="1"/>
    <col min="6" max="6" width="18.59765625" style="2" customWidth="1"/>
    <col min="7" max="7" width="22.8984375" style="2" customWidth="1"/>
    <col min="8" max="8" width="12.59765625" style="2" customWidth="1"/>
    <col min="9" max="9" width="12.59765625" customWidth="1"/>
    <col min="10" max="10" width="11.8984375" customWidth="1"/>
    <col min="11" max="11" width="21.09765625" customWidth="1"/>
    <col min="12" max="12" width="14.69921875" customWidth="1"/>
    <col min="13" max="13" width="17.59765625" customWidth="1"/>
    <col min="14" max="14" width="16.19921875" customWidth="1"/>
    <col min="15" max="15" width="14.3984375" customWidth="1"/>
    <col min="16" max="16" width="12" customWidth="1"/>
    <col min="17" max="17" width="13.19921875" customWidth="1"/>
    <col min="18" max="18" width="11.3984375" bestFit="1" customWidth="1"/>
    <col min="20" max="20" width="10.19921875" bestFit="1" customWidth="1"/>
  </cols>
  <sheetData>
    <row r="1" spans="2:15">
      <c r="B1" s="1" t="s">
        <v>0</v>
      </c>
    </row>
    <row r="4" spans="2:15">
      <c r="B4" s="15" t="s">
        <v>1</v>
      </c>
      <c r="C4" s="199" t="s">
        <v>2</v>
      </c>
      <c r="D4" s="200"/>
      <c r="H4" s="8"/>
      <c r="I4" s="2"/>
      <c r="J4" s="2"/>
      <c r="K4" s="1"/>
      <c r="L4" s="2"/>
      <c r="M4" s="9"/>
    </row>
    <row r="5" spans="2:15">
      <c r="B5" s="16" t="s">
        <v>3</v>
      </c>
      <c r="C5" s="201" t="s">
        <v>4</v>
      </c>
      <c r="D5" s="202"/>
      <c r="H5" s="8"/>
      <c r="I5" s="2"/>
      <c r="J5" s="1"/>
      <c r="K5" s="1"/>
      <c r="L5" s="2"/>
      <c r="M5" s="10"/>
    </row>
    <row r="6" spans="2:15">
      <c r="B6" s="16" t="s">
        <v>5</v>
      </c>
      <c r="C6" s="94">
        <f>ROUNDUP(C13,0)</f>
        <v>8</v>
      </c>
      <c r="D6" s="182"/>
      <c r="J6" s="8"/>
      <c r="K6" s="2"/>
      <c r="L6" s="2"/>
      <c r="M6" s="11"/>
    </row>
    <row r="7" spans="2:15">
      <c r="B7" s="16" t="s">
        <v>6</v>
      </c>
      <c r="C7" s="85">
        <v>1</v>
      </c>
      <c r="D7" s="88"/>
      <c r="J7" s="8"/>
      <c r="K7" s="2"/>
      <c r="L7" s="2"/>
      <c r="M7" s="11"/>
    </row>
    <row r="8" spans="2:15">
      <c r="B8" s="16" t="s">
        <v>7</v>
      </c>
      <c r="C8" s="186">
        <v>20</v>
      </c>
      <c r="D8" s="88"/>
      <c r="J8" s="8"/>
      <c r="K8" s="2"/>
      <c r="L8" s="2"/>
      <c r="M8" s="11"/>
    </row>
    <row r="9" spans="2:15">
      <c r="B9" s="16" t="s">
        <v>8</v>
      </c>
      <c r="C9" s="187">
        <v>0.35</v>
      </c>
      <c r="D9" s="88"/>
      <c r="J9" s="8"/>
      <c r="K9" s="2"/>
      <c r="L9" s="2"/>
      <c r="M9" s="11"/>
    </row>
    <row r="10" spans="2:15">
      <c r="B10" s="7" t="s">
        <v>9</v>
      </c>
      <c r="C10" s="188">
        <v>14</v>
      </c>
      <c r="D10" s="88"/>
      <c r="J10" s="8"/>
      <c r="K10" s="2"/>
      <c r="L10" s="2"/>
      <c r="M10" s="11"/>
    </row>
    <row r="11" spans="2:15">
      <c r="B11" s="16" t="s">
        <v>10</v>
      </c>
      <c r="C11" s="84">
        <f>C10*G23/3600</f>
        <v>20.533333333333335</v>
      </c>
      <c r="D11" s="88"/>
      <c r="J11" s="8"/>
      <c r="K11" s="2"/>
      <c r="L11" s="2"/>
      <c r="M11" s="11"/>
    </row>
    <row r="12" spans="2:15">
      <c r="B12" s="49" t="s">
        <v>11</v>
      </c>
      <c r="C12" s="84">
        <f>C10*F23/3600</f>
        <v>11.76</v>
      </c>
      <c r="D12" s="88"/>
      <c r="E12" s="109"/>
      <c r="G12" s="53"/>
      <c r="J12" s="8"/>
      <c r="K12" s="2"/>
      <c r="L12" s="2"/>
      <c r="M12" s="11"/>
    </row>
    <row r="13" spans="2:15">
      <c r="B13" s="49" t="s">
        <v>12</v>
      </c>
      <c r="C13" s="84">
        <f>C9*C11</f>
        <v>7.1866666666666665</v>
      </c>
      <c r="D13" s="90"/>
      <c r="J13" s="8"/>
      <c r="K13" s="2"/>
      <c r="L13" s="2"/>
      <c r="M13" s="11"/>
    </row>
    <row r="14" spans="2:15">
      <c r="B14" s="49" t="s">
        <v>13</v>
      </c>
      <c r="C14" s="84">
        <f>C9*C12</f>
        <v>4.1159999999999997</v>
      </c>
      <c r="D14" s="95"/>
      <c r="J14" s="8"/>
      <c r="K14" s="2"/>
      <c r="L14" s="2"/>
      <c r="O14" s="50"/>
    </row>
    <row r="15" spans="2:15">
      <c r="B15" s="16" t="s">
        <v>14</v>
      </c>
      <c r="C15" s="85">
        <v>1</v>
      </c>
      <c r="D15" s="89"/>
      <c r="J15" s="8"/>
      <c r="K15" s="2"/>
      <c r="L15" s="2"/>
      <c r="M15" s="11"/>
    </row>
    <row r="16" spans="2:15">
      <c r="B16" s="7" t="s">
        <v>15</v>
      </c>
      <c r="C16" s="86">
        <v>1</v>
      </c>
      <c r="D16" s="91"/>
      <c r="E16" s="98" t="s">
        <v>16</v>
      </c>
      <c r="F16" s="99"/>
      <c r="G16" s="117"/>
      <c r="J16" s="8"/>
      <c r="K16" s="2"/>
      <c r="L16" s="2"/>
      <c r="O16" s="50"/>
    </row>
    <row r="17" spans="2:15">
      <c r="B17" s="7" t="s">
        <v>17</v>
      </c>
      <c r="C17" s="185">
        <f>IF(C13&lt;3, 2, IF(C13&lt;=6, 4, IF(C13&lt;=8, 5, IF(C13&lt;=12, 7, NA()))))</f>
        <v>5</v>
      </c>
      <c r="D17" s="91" t="s">
        <v>18</v>
      </c>
      <c r="E17" s="100" t="s">
        <v>19</v>
      </c>
      <c r="F17" s="115" t="s">
        <v>20</v>
      </c>
      <c r="G17" s="118"/>
      <c r="J17" s="8"/>
      <c r="K17" s="2"/>
      <c r="L17" s="2"/>
      <c r="O17" s="50"/>
    </row>
    <row r="18" spans="2:15">
      <c r="B18" s="110" t="s">
        <v>21</v>
      </c>
      <c r="C18" s="111"/>
      <c r="D18" s="119"/>
      <c r="E18" s="120" t="s">
        <v>22</v>
      </c>
      <c r="F18" s="121" t="s">
        <v>23</v>
      </c>
      <c r="G18" s="122" t="s">
        <v>24</v>
      </c>
      <c r="J18" s="8"/>
      <c r="K18" s="2"/>
      <c r="L18" s="2"/>
      <c r="O18" s="50"/>
    </row>
    <row r="19" spans="2:15">
      <c r="B19" s="16" t="s">
        <v>25</v>
      </c>
      <c r="C19" s="28">
        <f>(C11-C13)*3600*8*5*52</f>
        <v>99939840</v>
      </c>
      <c r="D19" s="97"/>
      <c r="E19" s="120" t="s">
        <v>26</v>
      </c>
      <c r="F19" s="121">
        <v>1</v>
      </c>
      <c r="G19" s="122">
        <v>1</v>
      </c>
      <c r="J19" s="8"/>
      <c r="K19" s="2"/>
      <c r="L19" s="2"/>
      <c r="O19" s="50"/>
    </row>
    <row r="20" spans="2:15">
      <c r="B20" s="16" t="s">
        <v>27</v>
      </c>
      <c r="C20" s="28">
        <f>(C12-C14)*3600*8*5*52</f>
        <v>57238272</v>
      </c>
      <c r="D20" s="97"/>
      <c r="E20" s="120" t="s">
        <v>28</v>
      </c>
      <c r="F20" s="121">
        <v>32</v>
      </c>
      <c r="G20" s="122">
        <v>32</v>
      </c>
      <c r="J20" s="8"/>
      <c r="K20" s="2"/>
      <c r="L20" s="2"/>
    </row>
    <row r="21" spans="2:15">
      <c r="B21" s="16" t="s">
        <v>29</v>
      </c>
      <c r="C21" s="28">
        <f>C19*G24</f>
        <v>149909760</v>
      </c>
      <c r="D21" s="97"/>
      <c r="E21" s="123" t="s">
        <v>30</v>
      </c>
      <c r="F21" s="121">
        <f>F20*85</f>
        <v>2720</v>
      </c>
      <c r="G21" s="122">
        <f>G20*150</f>
        <v>4800</v>
      </c>
      <c r="J21" s="8"/>
      <c r="K21" s="2"/>
      <c r="L21" s="2"/>
    </row>
    <row r="22" spans="2:15">
      <c r="B22" s="16" t="s">
        <v>31</v>
      </c>
      <c r="C22" s="28">
        <f>C20*F24</f>
        <v>100166976</v>
      </c>
      <c r="D22" s="97"/>
      <c r="E22" s="123"/>
      <c r="F22" s="121">
        <f>F20*104</f>
        <v>3328</v>
      </c>
      <c r="G22" s="122">
        <f>G20*180</f>
        <v>5760</v>
      </c>
      <c r="J22" s="8"/>
      <c r="K22" s="4"/>
      <c r="L22" s="8"/>
      <c r="M22" t="s">
        <v>32</v>
      </c>
    </row>
    <row r="23" spans="2:15">
      <c r="B23" s="16" t="s">
        <v>33</v>
      </c>
      <c r="C23" s="28">
        <f>C21*G25</f>
        <v>29981952</v>
      </c>
      <c r="D23" s="97"/>
      <c r="E23" s="123" t="s">
        <v>34</v>
      </c>
      <c r="F23" s="121">
        <f>AVERAGE(F21:F22)</f>
        <v>3024</v>
      </c>
      <c r="G23" s="122">
        <f>AVERAGE(G21:G22)</f>
        <v>5280</v>
      </c>
      <c r="J23" s="8"/>
      <c r="K23" s="2"/>
      <c r="L23" s="2"/>
    </row>
    <row r="24" spans="2:15">
      <c r="B24" s="17" t="s">
        <v>35</v>
      </c>
      <c r="C24" s="28">
        <f>C22*F25</f>
        <v>20033395.199999999</v>
      </c>
      <c r="D24" s="112"/>
      <c r="E24" s="120" t="s">
        <v>36</v>
      </c>
      <c r="F24" s="121">
        <v>1.75</v>
      </c>
      <c r="G24" s="122">
        <v>1.5</v>
      </c>
      <c r="J24" s="8"/>
      <c r="K24" s="2"/>
      <c r="L24" s="2"/>
    </row>
    <row r="25" spans="2:15">
      <c r="B25" s="124" t="s">
        <v>37</v>
      </c>
      <c r="C25" s="125"/>
      <c r="D25" s="119"/>
      <c r="E25" s="126" t="s">
        <v>38</v>
      </c>
      <c r="F25" s="127">
        <v>0.2</v>
      </c>
      <c r="G25" s="128">
        <v>0.2</v>
      </c>
      <c r="J25" s="8"/>
      <c r="K25" s="2"/>
      <c r="L25" s="2"/>
    </row>
    <row r="26" spans="2:15">
      <c r="C26" s="96"/>
      <c r="J26" s="8"/>
      <c r="K26" s="2"/>
      <c r="L26" s="2"/>
    </row>
    <row r="27" spans="2:15">
      <c r="B27" s="203" t="s">
        <v>39</v>
      </c>
      <c r="C27" s="204"/>
      <c r="D27" s="204"/>
      <c r="E27" s="204"/>
      <c r="F27" s="204"/>
      <c r="G27" s="204"/>
      <c r="H27" s="205"/>
    </row>
    <row r="28" spans="2:15" ht="33" customHeight="1">
      <c r="B28" s="76" t="s">
        <v>40</v>
      </c>
      <c r="C28" s="64" t="s">
        <v>41</v>
      </c>
      <c r="D28" s="24" t="s">
        <v>42</v>
      </c>
      <c r="E28" s="25" t="s">
        <v>43</v>
      </c>
      <c r="F28" s="25" t="s">
        <v>44</v>
      </c>
      <c r="G28" s="25" t="s">
        <v>45</v>
      </c>
      <c r="H28" s="26" t="s">
        <v>46</v>
      </c>
    </row>
    <row r="29" spans="2:15">
      <c r="B29" s="77" t="s">
        <v>47</v>
      </c>
      <c r="C29" s="78" t="s">
        <v>32</v>
      </c>
      <c r="D29" s="18">
        <v>1</v>
      </c>
      <c r="E29" s="113">
        <v>0</v>
      </c>
      <c r="F29" s="114">
        <f>D29*E29</f>
        <v>0</v>
      </c>
      <c r="G29" s="20">
        <v>20</v>
      </c>
      <c r="H29" s="21">
        <f>F29/G29</f>
        <v>0</v>
      </c>
    </row>
    <row r="30" spans="2:15">
      <c r="B30" s="77" t="s">
        <v>48</v>
      </c>
      <c r="C30" s="80" t="s">
        <v>49</v>
      </c>
      <c r="D30" s="18">
        <v>1</v>
      </c>
      <c r="E30" s="113">
        <v>20000</v>
      </c>
      <c r="F30" s="114">
        <f t="shared" ref="F30:F33" si="0">D30*E30</f>
        <v>20000</v>
      </c>
      <c r="G30" s="20">
        <v>10</v>
      </c>
      <c r="H30" s="27">
        <f>F30/G30</f>
        <v>2000</v>
      </c>
    </row>
    <row r="31" spans="2:15">
      <c r="B31" s="77" t="s">
        <v>50</v>
      </c>
      <c r="C31" s="80"/>
      <c r="D31" s="18">
        <v>1</v>
      </c>
      <c r="E31" s="113">
        <f>IF(C17=2,175000,IF(C17=4,210000,IF(C17=5,230000,IF(C17=7,330000))))</f>
        <v>230000</v>
      </c>
      <c r="F31" s="114">
        <f t="shared" si="0"/>
        <v>230000</v>
      </c>
      <c r="G31" s="20">
        <v>10</v>
      </c>
      <c r="H31" s="21">
        <f>F31/G31</f>
        <v>23000</v>
      </c>
    </row>
    <row r="32" spans="2:15">
      <c r="B32" s="81" t="s">
        <v>51</v>
      </c>
      <c r="C32" s="80"/>
      <c r="D32" s="18">
        <v>1</v>
      </c>
      <c r="E32" s="113">
        <f>IF(C17=2,150000,IF(C17=4,190000,IF(C17=5,220000,IF(C17=7,320000))))</f>
        <v>220000</v>
      </c>
      <c r="F32" s="114">
        <f t="shared" si="0"/>
        <v>220000</v>
      </c>
      <c r="G32" s="20">
        <v>10</v>
      </c>
      <c r="H32" s="21">
        <f>F32/G32</f>
        <v>22000</v>
      </c>
    </row>
    <row r="33" spans="2:9">
      <c r="B33" s="77" t="s">
        <v>52</v>
      </c>
      <c r="C33" s="80" t="s">
        <v>53</v>
      </c>
      <c r="D33" s="18">
        <v>1</v>
      </c>
      <c r="E33" s="113">
        <v>30000</v>
      </c>
      <c r="F33" s="114">
        <f t="shared" si="0"/>
        <v>30000</v>
      </c>
      <c r="G33" s="20">
        <v>1000000000</v>
      </c>
      <c r="H33" s="22">
        <f>F33/G33</f>
        <v>3.0000000000000001E-5</v>
      </c>
    </row>
    <row r="34" spans="2:9" ht="20.399999999999999">
      <c r="B34" s="82" t="s">
        <v>54</v>
      </c>
      <c r="C34" s="65"/>
      <c r="D34" s="23"/>
      <c r="E34" s="65"/>
      <c r="F34" s="181">
        <f>SUM(F29:F33)</f>
        <v>500000</v>
      </c>
      <c r="G34" s="129"/>
      <c r="H34" s="29">
        <f>SUM(H29:H33)</f>
        <v>47000.000030000003</v>
      </c>
      <c r="I34" s="183"/>
    </row>
    <row r="35" spans="2:9">
      <c r="B35" s="1"/>
      <c r="G35" s="53"/>
      <c r="H35" s="4"/>
      <c r="I35" s="13"/>
    </row>
    <row r="36" spans="2:9">
      <c r="C36" s="130" t="s">
        <v>32</v>
      </c>
      <c r="D36" s="4" t="s">
        <v>32</v>
      </c>
    </row>
    <row r="37" spans="2:9">
      <c r="B37" s="206" t="s">
        <v>55</v>
      </c>
      <c r="C37" s="207"/>
      <c r="D37" s="207"/>
      <c r="E37" s="207"/>
      <c r="F37" s="207"/>
      <c r="G37" s="208"/>
    </row>
    <row r="38" spans="2:9">
      <c r="B38" s="34" t="s">
        <v>40</v>
      </c>
      <c r="C38" s="67" t="s">
        <v>41</v>
      </c>
      <c r="D38" s="35" t="s">
        <v>56</v>
      </c>
      <c r="E38" s="35" t="s">
        <v>42</v>
      </c>
      <c r="F38" s="36" t="s">
        <v>57</v>
      </c>
      <c r="G38" s="48" t="s">
        <v>58</v>
      </c>
    </row>
    <row r="39" spans="2:9">
      <c r="B39" s="37" t="s">
        <v>59</v>
      </c>
      <c r="C39" s="58"/>
      <c r="D39" s="42"/>
      <c r="E39" s="42"/>
      <c r="F39" s="44"/>
      <c r="G39" s="131"/>
    </row>
    <row r="40" spans="2:9">
      <c r="B40" s="38" t="s">
        <v>60</v>
      </c>
      <c r="C40" s="39" t="s">
        <v>61</v>
      </c>
      <c r="D40" s="52" t="s">
        <v>62</v>
      </c>
      <c r="E40" s="73">
        <f>C23</f>
        <v>29981952</v>
      </c>
      <c r="F40" s="186">
        <v>1.1000000000000001</v>
      </c>
      <c r="G40" s="62">
        <f>E40*F40</f>
        <v>32980147.200000003</v>
      </c>
      <c r="H40" s="8"/>
    </row>
    <row r="41" spans="2:9">
      <c r="B41" s="38" t="s">
        <v>63</v>
      </c>
      <c r="C41" s="39" t="s">
        <v>61</v>
      </c>
      <c r="D41" s="52" t="s">
        <v>62</v>
      </c>
      <c r="E41" s="73">
        <f>C24</f>
        <v>20033395.199999999</v>
      </c>
      <c r="F41" s="186">
        <v>0.9</v>
      </c>
      <c r="G41" s="62">
        <f>E41*F41</f>
        <v>18030055.68</v>
      </c>
    </row>
    <row r="42" spans="2:9">
      <c r="B42" s="38" t="s">
        <v>64</v>
      </c>
      <c r="C42" s="39" t="s">
        <v>61</v>
      </c>
      <c r="D42" s="52" t="s">
        <v>62</v>
      </c>
      <c r="E42" s="56">
        <f>SUM(E40:E41)</f>
        <v>50015347.200000003</v>
      </c>
      <c r="F42" s="103"/>
      <c r="G42" s="62">
        <f>SUM(G40:G41)</f>
        <v>51010202.880000003</v>
      </c>
    </row>
    <row r="43" spans="2:9">
      <c r="B43" s="38"/>
      <c r="C43" s="44"/>
      <c r="D43" s="132"/>
      <c r="E43" s="56"/>
      <c r="F43" s="103"/>
      <c r="G43" s="63"/>
    </row>
    <row r="44" spans="2:9">
      <c r="B44" s="41" t="s">
        <v>65</v>
      </c>
      <c r="C44" s="44"/>
      <c r="D44" s="42"/>
      <c r="E44" s="57"/>
      <c r="F44" s="104"/>
      <c r="G44" s="62"/>
      <c r="H44" s="6"/>
    </row>
    <row r="45" spans="2:9">
      <c r="B45" s="51" t="s">
        <v>66</v>
      </c>
      <c r="C45" s="44" t="s">
        <v>67</v>
      </c>
      <c r="D45" s="42"/>
      <c r="E45" s="58">
        <v>1</v>
      </c>
      <c r="F45" s="104">
        <v>10040</v>
      </c>
      <c r="G45" s="68">
        <f>E45*F45</f>
        <v>10040</v>
      </c>
      <c r="H45" s="6"/>
    </row>
    <row r="46" spans="2:9">
      <c r="B46" s="51" t="s">
        <v>68</v>
      </c>
      <c r="C46" s="44" t="s">
        <v>69</v>
      </c>
      <c r="D46" s="42"/>
      <c r="E46" s="58">
        <v>2</v>
      </c>
      <c r="F46" s="104">
        <v>1500</v>
      </c>
      <c r="G46" s="68">
        <f>E46*F46</f>
        <v>3000</v>
      </c>
      <c r="H46" s="6"/>
    </row>
    <row r="47" spans="2:9">
      <c r="B47" s="38" t="s">
        <v>70</v>
      </c>
      <c r="C47" s="39" t="s">
        <v>71</v>
      </c>
      <c r="D47" s="44" t="s">
        <v>72</v>
      </c>
      <c r="E47" s="56">
        <f>C19*C9</f>
        <v>34978944</v>
      </c>
      <c r="F47" s="190">
        <f>0.02/100</f>
        <v>2.0000000000000001E-4</v>
      </c>
      <c r="G47" s="68">
        <f>E47*F47</f>
        <v>6995.7888000000003</v>
      </c>
      <c r="H47" s="6"/>
      <c r="I47" s="12"/>
    </row>
    <row r="48" spans="2:9">
      <c r="B48" s="38" t="s">
        <v>73</v>
      </c>
      <c r="C48" s="54" t="s">
        <v>74</v>
      </c>
      <c r="D48" s="44" t="s">
        <v>75</v>
      </c>
      <c r="E48" s="60">
        <f>C6</f>
        <v>8</v>
      </c>
      <c r="F48" s="105">
        <f>C8*8*5*52</f>
        <v>41600</v>
      </c>
      <c r="G48" s="68">
        <f t="shared" ref="G48:G49" si="1">E48*F48</f>
        <v>332800</v>
      </c>
      <c r="H48" s="6"/>
      <c r="I48" s="3"/>
    </row>
    <row r="49" spans="2:16">
      <c r="B49" s="38" t="s">
        <v>73</v>
      </c>
      <c r="C49" s="55" t="s">
        <v>76</v>
      </c>
      <c r="D49" s="44" t="s">
        <v>75</v>
      </c>
      <c r="E49" s="61">
        <f>C7</f>
        <v>1</v>
      </c>
      <c r="F49" s="104">
        <f>C8*8*5*52</f>
        <v>41600</v>
      </c>
      <c r="G49" s="68">
        <f t="shared" si="1"/>
        <v>41600</v>
      </c>
      <c r="H49" s="6"/>
      <c r="I49" s="3"/>
      <c r="M49" s="2"/>
      <c r="N49" s="2"/>
      <c r="O49" s="2"/>
      <c r="P49" s="2"/>
    </row>
    <row r="50" spans="2:16">
      <c r="B50" s="45" t="s">
        <v>77</v>
      </c>
      <c r="C50" s="47" t="s">
        <v>74</v>
      </c>
      <c r="D50" s="44" t="s">
        <v>75</v>
      </c>
      <c r="E50" s="59">
        <f>SUM(G48)</f>
        <v>332800</v>
      </c>
      <c r="F50" s="105">
        <v>0.05</v>
      </c>
      <c r="G50" s="68">
        <f>E50*F50</f>
        <v>16640</v>
      </c>
      <c r="H50" s="6"/>
      <c r="M50" s="6"/>
      <c r="N50" s="6"/>
      <c r="O50" s="6"/>
      <c r="P50" s="6"/>
    </row>
    <row r="51" spans="2:16">
      <c r="B51" s="45" t="s">
        <v>77</v>
      </c>
      <c r="C51" s="47" t="s">
        <v>78</v>
      </c>
      <c r="D51" s="44" t="s">
        <v>75</v>
      </c>
      <c r="E51" s="56">
        <f>SUM(G45:G47)+G49</f>
        <v>61635.788800000002</v>
      </c>
      <c r="F51" s="104">
        <v>0.05</v>
      </c>
      <c r="G51" s="68">
        <f>E51*F51</f>
        <v>3081.7894400000005</v>
      </c>
      <c r="H51" s="6"/>
      <c r="I51" s="155" t="s">
        <v>79</v>
      </c>
      <c r="J51" s="156"/>
      <c r="K51" s="156"/>
      <c r="L51" s="157"/>
      <c r="M51" s="2"/>
    </row>
    <row r="52" spans="2:16">
      <c r="B52" s="195" t="s">
        <v>80</v>
      </c>
      <c r="C52" s="196"/>
      <c r="D52" s="42"/>
      <c r="E52" s="42"/>
      <c r="F52" s="106"/>
      <c r="G52" s="69">
        <f>G48+G50</f>
        <v>349440</v>
      </c>
      <c r="H52" s="6"/>
      <c r="I52" s="158" t="s">
        <v>81</v>
      </c>
      <c r="J52" s="159"/>
      <c r="K52" s="160"/>
      <c r="L52" s="161">
        <v>0</v>
      </c>
      <c r="M52" s="2"/>
    </row>
    <row r="53" spans="2:16">
      <c r="B53" s="195" t="s">
        <v>82</v>
      </c>
      <c r="C53" s="196"/>
      <c r="D53" s="42"/>
      <c r="E53" s="58"/>
      <c r="F53" s="104"/>
      <c r="G53" s="69">
        <f>SUM(G45:G47)+G49+G51</f>
        <v>64717.578240000003</v>
      </c>
      <c r="H53" s="6"/>
      <c r="I53" s="162" t="s">
        <v>83</v>
      </c>
      <c r="J53" s="163"/>
      <c r="K53" s="164"/>
      <c r="L53" s="165">
        <f>(G48-G49)+(G50-G51)</f>
        <v>304758.21055999998</v>
      </c>
      <c r="M53" s="2"/>
    </row>
    <row r="54" spans="2:16">
      <c r="B54" s="37"/>
      <c r="C54" s="58"/>
      <c r="D54" s="42"/>
      <c r="E54" s="58"/>
      <c r="F54" s="104"/>
      <c r="G54" s="68"/>
      <c r="H54" s="6"/>
      <c r="I54" s="166" t="s">
        <v>84</v>
      </c>
      <c r="J54" s="167"/>
      <c r="K54" s="168"/>
      <c r="L54" s="169">
        <f>L52+L53</f>
        <v>304758.21055999998</v>
      </c>
      <c r="M54" s="2"/>
    </row>
    <row r="55" spans="2:16">
      <c r="B55" s="37" t="s">
        <v>85</v>
      </c>
      <c r="C55" s="58"/>
      <c r="D55" s="42"/>
      <c r="E55" s="58"/>
      <c r="F55" s="104"/>
      <c r="G55" s="68"/>
      <c r="H55" s="6"/>
      <c r="I55" s="162" t="s">
        <v>86</v>
      </c>
      <c r="J55" s="163"/>
      <c r="K55" s="164"/>
      <c r="L55" s="170">
        <v>0</v>
      </c>
      <c r="M55" s="2"/>
    </row>
    <row r="56" spans="2:16">
      <c r="B56" s="193" t="s">
        <v>87</v>
      </c>
      <c r="C56" s="194"/>
      <c r="D56" s="42"/>
      <c r="E56" s="56">
        <f>F34</f>
        <v>500000</v>
      </c>
      <c r="F56" s="184">
        <v>0.05</v>
      </c>
      <c r="G56" s="68">
        <f t="shared" ref="G56:G57" si="2">E56*F56</f>
        <v>25000</v>
      </c>
      <c r="H56" s="6"/>
      <c r="I56" s="162" t="s">
        <v>88</v>
      </c>
      <c r="J56" s="163"/>
      <c r="K56" s="164"/>
      <c r="L56" s="165">
        <f>G45+G46+G47+G56+G57</f>
        <v>92035.788830000005</v>
      </c>
      <c r="M56" s="2"/>
    </row>
    <row r="57" spans="2:16">
      <c r="B57" s="38" t="s">
        <v>89</v>
      </c>
      <c r="C57" s="74"/>
      <c r="D57" s="42"/>
      <c r="E57" s="56">
        <f>H34</f>
        <v>47000.000030000003</v>
      </c>
      <c r="F57" s="104">
        <v>1</v>
      </c>
      <c r="G57" s="68">
        <f t="shared" si="2"/>
        <v>47000.000030000003</v>
      </c>
      <c r="H57" s="6"/>
      <c r="I57" s="166" t="s">
        <v>90</v>
      </c>
      <c r="J57" s="167"/>
      <c r="K57" s="168"/>
      <c r="L57" s="169">
        <f>L55+L56</f>
        <v>92035.788830000005</v>
      </c>
      <c r="M57" s="2"/>
      <c r="N57" s="30"/>
      <c r="O57" s="30"/>
    </row>
    <row r="58" spans="2:16">
      <c r="B58" s="45"/>
      <c r="C58" s="74" t="s">
        <v>32</v>
      </c>
      <c r="D58" s="42"/>
      <c r="E58" s="58"/>
      <c r="F58" s="58"/>
      <c r="G58" s="107"/>
      <c r="H58" s="6"/>
      <c r="I58" s="171" t="s">
        <v>91</v>
      </c>
      <c r="J58" s="167"/>
      <c r="K58" s="168"/>
      <c r="L58" s="172">
        <f>L54-L57</f>
        <v>212722.42172999997</v>
      </c>
      <c r="M58" s="2"/>
      <c r="N58" s="30"/>
      <c r="O58" s="30"/>
    </row>
    <row r="59" spans="2:16">
      <c r="B59" s="37" t="s">
        <v>92</v>
      </c>
      <c r="C59" s="42"/>
      <c r="D59" s="42"/>
      <c r="E59" s="42" t="s">
        <v>32</v>
      </c>
      <c r="F59" s="43"/>
      <c r="G59" s="69">
        <f>0</f>
        <v>0</v>
      </c>
      <c r="H59" s="5"/>
      <c r="I59" s="2"/>
      <c r="J59" s="2"/>
      <c r="K59" s="2"/>
      <c r="L59" s="2"/>
      <c r="M59" s="2"/>
      <c r="N59" s="30"/>
      <c r="O59" s="30"/>
    </row>
    <row r="60" spans="2:16">
      <c r="B60" s="37" t="s">
        <v>93</v>
      </c>
      <c r="C60" s="58"/>
      <c r="D60" s="42"/>
      <c r="E60" s="58" t="s">
        <v>32</v>
      </c>
      <c r="F60" s="57"/>
      <c r="G60" s="69">
        <f>SUM(G56:G58)</f>
        <v>72000.000029999996</v>
      </c>
      <c r="H60" s="6"/>
      <c r="I60" s="2"/>
      <c r="J60" s="2"/>
      <c r="K60" s="2"/>
      <c r="L60" s="2"/>
      <c r="M60" s="31"/>
      <c r="N60" s="30"/>
      <c r="O60" s="33"/>
    </row>
    <row r="61" spans="2:16">
      <c r="B61" s="37"/>
      <c r="C61" s="58"/>
      <c r="D61" s="42"/>
      <c r="E61" s="58"/>
      <c r="F61" s="57"/>
      <c r="G61" s="68"/>
      <c r="I61" s="173" t="s">
        <v>94</v>
      </c>
      <c r="J61" s="174"/>
      <c r="K61" s="174"/>
      <c r="L61" s="174"/>
      <c r="M61" s="174"/>
      <c r="N61" s="32"/>
      <c r="O61" s="32"/>
    </row>
    <row r="62" spans="2:16">
      <c r="B62" s="37" t="s">
        <v>95</v>
      </c>
      <c r="C62" s="42"/>
      <c r="D62" s="42"/>
      <c r="E62" s="42"/>
      <c r="F62" s="43"/>
      <c r="G62" s="69">
        <f>G59+G52</f>
        <v>349440</v>
      </c>
      <c r="I62" s="175" t="s">
        <v>96</v>
      </c>
      <c r="J62" s="174"/>
      <c r="K62" s="174"/>
      <c r="L62" s="174"/>
      <c r="M62" s="174"/>
    </row>
    <row r="63" spans="2:16">
      <c r="B63" s="37" t="s">
        <v>97</v>
      </c>
      <c r="C63" s="75"/>
      <c r="D63" s="46"/>
      <c r="E63" s="58"/>
      <c r="F63" s="57"/>
      <c r="G63" s="69">
        <f>G60+G53</f>
        <v>136717.57827</v>
      </c>
      <c r="I63" s="175" t="s">
        <v>98</v>
      </c>
      <c r="J63" s="174"/>
      <c r="K63" s="174"/>
      <c r="L63" s="174"/>
      <c r="M63" s="174"/>
    </row>
    <row r="64" spans="2:16">
      <c r="B64" s="37"/>
      <c r="C64" s="75"/>
      <c r="D64" s="46"/>
      <c r="E64" s="42"/>
      <c r="F64" s="40"/>
      <c r="G64" s="108"/>
      <c r="I64" s="175" t="s">
        <v>99</v>
      </c>
      <c r="J64" s="174"/>
      <c r="K64" s="174"/>
      <c r="L64" s="174"/>
      <c r="M64" s="101"/>
    </row>
    <row r="65" spans="2:13">
      <c r="B65" s="195" t="s">
        <v>100</v>
      </c>
      <c r="C65" s="196"/>
      <c r="D65" s="196"/>
      <c r="E65" s="42"/>
      <c r="F65" s="43"/>
      <c r="G65" s="68">
        <f>G42-G62</f>
        <v>50660762.880000003</v>
      </c>
      <c r="I65" s="175" t="s">
        <v>101</v>
      </c>
      <c r="J65" s="174"/>
      <c r="K65" s="174"/>
      <c r="L65" s="174"/>
      <c r="M65" s="102"/>
    </row>
    <row r="66" spans="2:13">
      <c r="B66" s="197" t="s">
        <v>102</v>
      </c>
      <c r="C66" s="198"/>
      <c r="D66" s="198"/>
      <c r="E66" s="70"/>
      <c r="F66" s="71"/>
      <c r="G66" s="72">
        <f>G42-G63</f>
        <v>50873485.301729999</v>
      </c>
      <c r="I66" s="176" t="s">
        <v>103</v>
      </c>
      <c r="J66" s="174"/>
      <c r="K66" s="174"/>
      <c r="L66" s="174"/>
      <c r="M66" s="102"/>
    </row>
    <row r="67" spans="2:13">
      <c r="B67" s="1"/>
    </row>
  </sheetData>
  <sheetProtection sheet="1" objects="1" scenarios="1"/>
  <mergeCells count="9">
    <mergeCell ref="B56:C56"/>
    <mergeCell ref="B65:D65"/>
    <mergeCell ref="B66:D66"/>
    <mergeCell ref="C4:D4"/>
    <mergeCell ref="C5:D5"/>
    <mergeCell ref="B27:H27"/>
    <mergeCell ref="B37:G37"/>
    <mergeCell ref="B52:C52"/>
    <mergeCell ref="B53:C53"/>
  </mergeCells>
  <pageMargins left="0.7" right="0.7" top="0.75" bottom="0.75" header="0.3" footer="0.3"/>
  <pageSetup scale="5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7187-F78F-444B-BCD7-347A85789D75}">
  <dimension ref="A1:P65"/>
  <sheetViews>
    <sheetView topLeftCell="C32" zoomScaleNormal="100" workbookViewId="0">
      <selection activeCell="I49" sqref="I49:L56"/>
    </sheetView>
  </sheetViews>
  <sheetFormatPr defaultRowHeight="15.6"/>
  <cols>
    <col min="1" max="1" width="1.59765625" style="2" customWidth="1"/>
    <col min="2" max="2" width="64.59765625" style="2" bestFit="1" customWidth="1"/>
    <col min="3" max="3" width="16.3984375" style="66" customWidth="1"/>
    <col min="4" max="4" width="19" style="2" bestFit="1" customWidth="1"/>
    <col min="5" max="5" width="21.19921875" style="2" customWidth="1"/>
    <col min="6" max="6" width="18.59765625" style="2" customWidth="1"/>
    <col min="7" max="7" width="22.8984375" style="2" customWidth="1"/>
    <col min="8" max="8" width="13" style="2" customWidth="1"/>
    <col min="9" max="9" width="13.3984375" customWidth="1"/>
    <col min="10" max="10" width="11.8984375" customWidth="1"/>
    <col min="11" max="11" width="21.09765625" customWidth="1"/>
    <col min="12" max="12" width="14.69921875" customWidth="1"/>
    <col min="13" max="13" width="17.59765625" customWidth="1"/>
    <col min="14" max="14" width="16.19921875" customWidth="1"/>
    <col min="15" max="15" width="14.3984375" customWidth="1"/>
    <col min="16" max="16" width="12" customWidth="1"/>
    <col min="17" max="17" width="13.19921875" customWidth="1"/>
    <col min="18" max="18" width="11.3984375" bestFit="1" customWidth="1"/>
    <col min="20" max="20" width="10.19921875" bestFit="1" customWidth="1"/>
  </cols>
  <sheetData>
    <row r="1" spans="2:15">
      <c r="B1" s="1" t="s">
        <v>0</v>
      </c>
    </row>
    <row r="3" spans="2:15">
      <c r="B3" s="2" t="s">
        <v>104</v>
      </c>
      <c r="C3" s="66">
        <v>1</v>
      </c>
    </row>
    <row r="4" spans="2:15">
      <c r="B4" s="15" t="s">
        <v>1</v>
      </c>
      <c r="C4" s="199" t="s">
        <v>105</v>
      </c>
      <c r="D4" s="200"/>
      <c r="E4" s="110" t="s">
        <v>21</v>
      </c>
      <c r="F4" s="111"/>
      <c r="G4" s="119"/>
      <c r="H4" s="8"/>
      <c r="I4" s="2"/>
      <c r="J4" s="2"/>
      <c r="K4" s="1"/>
      <c r="L4" s="2"/>
      <c r="M4" s="9"/>
    </row>
    <row r="5" spans="2:15">
      <c r="B5" s="16" t="s">
        <v>3</v>
      </c>
      <c r="C5" s="201" t="s">
        <v>4</v>
      </c>
      <c r="D5" s="202"/>
      <c r="E5" s="16" t="s">
        <v>25</v>
      </c>
      <c r="F5" s="14"/>
      <c r="G5" s="97">
        <f>C6*C8*G21</f>
        <v>161441280</v>
      </c>
      <c r="H5" s="8"/>
      <c r="I5" s="2"/>
      <c r="J5" s="1"/>
      <c r="K5" s="1"/>
      <c r="L5" s="2"/>
      <c r="M5" s="10"/>
    </row>
    <row r="6" spans="2:15">
      <c r="B6" s="16" t="s">
        <v>106</v>
      </c>
      <c r="C6" s="186">
        <v>196</v>
      </c>
      <c r="D6" s="88"/>
      <c r="E6" s="16" t="s">
        <v>27</v>
      </c>
      <c r="F6" s="14"/>
      <c r="G6" s="97">
        <f>C6*C8*F21</f>
        <v>92461824</v>
      </c>
      <c r="J6" s="8"/>
      <c r="K6" s="2"/>
      <c r="L6" s="2"/>
      <c r="M6" s="11"/>
    </row>
    <row r="7" spans="2:15">
      <c r="B7" s="16" t="s">
        <v>107</v>
      </c>
      <c r="C7" s="186">
        <v>3</v>
      </c>
      <c r="D7" s="88"/>
      <c r="E7" s="16" t="s">
        <v>29</v>
      </c>
      <c r="F7" s="14"/>
      <c r="G7" s="97">
        <f>G5/G22</f>
        <v>107627520</v>
      </c>
      <c r="J7" s="8"/>
      <c r="K7" s="2"/>
      <c r="L7" s="2"/>
      <c r="M7" s="11"/>
    </row>
    <row r="8" spans="2:15">
      <c r="B8" s="16" t="s">
        <v>108</v>
      </c>
      <c r="C8" s="85">
        <f>C7*52</f>
        <v>156</v>
      </c>
      <c r="D8" s="88"/>
      <c r="E8" s="16" t="s">
        <v>31</v>
      </c>
      <c r="F8" s="14"/>
      <c r="G8" s="97">
        <f>G6/F22</f>
        <v>52835328</v>
      </c>
      <c r="J8" s="8"/>
      <c r="K8" s="2"/>
      <c r="L8" s="2"/>
      <c r="M8" s="11"/>
    </row>
    <row r="9" spans="2:15">
      <c r="B9" s="16" t="s">
        <v>109</v>
      </c>
      <c r="C9" s="85">
        <f>(7/C7)*24</f>
        <v>56</v>
      </c>
      <c r="D9" s="88"/>
      <c r="E9" s="16" t="s">
        <v>33</v>
      </c>
      <c r="F9" s="14"/>
      <c r="G9" s="97">
        <f>G7*G23</f>
        <v>21525504</v>
      </c>
      <c r="J9" s="8"/>
      <c r="K9" s="2"/>
      <c r="L9" s="2"/>
      <c r="M9" s="11"/>
    </row>
    <row r="10" spans="2:15">
      <c r="B10" s="16" t="s">
        <v>117</v>
      </c>
      <c r="C10" s="94">
        <f>ROUNDUP(C18/1+2,0)</f>
        <v>6</v>
      </c>
      <c r="D10" s="88"/>
      <c r="E10" s="17" t="s">
        <v>35</v>
      </c>
      <c r="F10" s="177"/>
      <c r="G10" s="112">
        <f>G8*F23</f>
        <v>10567065.600000001</v>
      </c>
      <c r="J10" s="8"/>
      <c r="K10" s="2"/>
      <c r="L10" s="2"/>
      <c r="M10" s="11"/>
    </row>
    <row r="11" spans="2:15">
      <c r="B11" s="16" t="s">
        <v>118</v>
      </c>
      <c r="C11" s="85">
        <v>3</v>
      </c>
      <c r="D11" s="88"/>
      <c r="E11" s="109"/>
      <c r="G11" s="53"/>
      <c r="J11" s="8"/>
      <c r="K11" s="2"/>
      <c r="L11" s="2"/>
      <c r="M11" s="11"/>
    </row>
    <row r="12" spans="2:15">
      <c r="B12" s="16" t="s">
        <v>7</v>
      </c>
      <c r="C12" s="186">
        <v>20</v>
      </c>
      <c r="D12" s="88"/>
      <c r="E12" s="109"/>
      <c r="G12" s="53"/>
      <c r="J12" s="8"/>
      <c r="K12" s="2"/>
      <c r="L12" s="2"/>
      <c r="M12" s="11"/>
    </row>
    <row r="13" spans="2:15">
      <c r="B13" s="16" t="s">
        <v>8</v>
      </c>
      <c r="C13" s="187">
        <v>0.35</v>
      </c>
      <c r="D13" s="90"/>
      <c r="J13" s="8"/>
      <c r="K13" s="2"/>
      <c r="L13" s="2"/>
      <c r="M13" s="11"/>
    </row>
    <row r="14" spans="2:15">
      <c r="B14" s="7" t="s">
        <v>9</v>
      </c>
      <c r="C14" s="94">
        <v>6</v>
      </c>
      <c r="D14" s="95"/>
      <c r="E14" s="98" t="s">
        <v>16</v>
      </c>
      <c r="F14" s="99"/>
      <c r="G14" s="117"/>
      <c r="J14" s="8"/>
      <c r="K14" s="2"/>
      <c r="L14" s="2"/>
      <c r="O14" s="50"/>
    </row>
    <row r="15" spans="2:15">
      <c r="B15" s="7" t="s">
        <v>110</v>
      </c>
      <c r="C15" s="83">
        <f>C6/C14</f>
        <v>32.666666666666664</v>
      </c>
      <c r="D15" s="89"/>
      <c r="E15" s="100" t="s">
        <v>19</v>
      </c>
      <c r="F15" s="115" t="s">
        <v>20</v>
      </c>
      <c r="G15" s="118"/>
      <c r="J15" s="8"/>
      <c r="K15" s="2"/>
      <c r="L15" s="2"/>
      <c r="M15" s="11"/>
    </row>
    <row r="16" spans="2:15">
      <c r="B16" s="16" t="s">
        <v>10</v>
      </c>
      <c r="C16" s="84">
        <f>C14*G21/3600</f>
        <v>8.8000000000000007</v>
      </c>
      <c r="D16" s="91"/>
      <c r="E16" s="120" t="s">
        <v>22</v>
      </c>
      <c r="F16" s="121" t="s">
        <v>23</v>
      </c>
      <c r="G16" s="122" t="s">
        <v>24</v>
      </c>
      <c r="J16" s="8"/>
      <c r="K16" s="2"/>
      <c r="L16" s="2"/>
      <c r="O16" s="50"/>
    </row>
    <row r="17" spans="2:15">
      <c r="B17" s="49" t="s">
        <v>11</v>
      </c>
      <c r="C17" s="84">
        <f>C14*F21/3600</f>
        <v>5.04</v>
      </c>
      <c r="D17" s="91"/>
      <c r="E17" s="120" t="s">
        <v>26</v>
      </c>
      <c r="F17" s="121">
        <v>1</v>
      </c>
      <c r="G17" s="122">
        <v>1</v>
      </c>
      <c r="J17" s="8"/>
      <c r="K17" s="2"/>
      <c r="L17" s="2"/>
      <c r="O17" s="50"/>
    </row>
    <row r="18" spans="2:15">
      <c r="B18" s="49" t="s">
        <v>12</v>
      </c>
      <c r="C18" s="84">
        <f>C13*C16</f>
        <v>3.08</v>
      </c>
      <c r="D18" s="91"/>
      <c r="E18" s="120" t="s">
        <v>28</v>
      </c>
      <c r="F18" s="121">
        <v>32</v>
      </c>
      <c r="G18" s="122">
        <v>32</v>
      </c>
      <c r="J18" s="8"/>
      <c r="K18" s="2"/>
      <c r="L18" s="2"/>
      <c r="O18" s="50"/>
    </row>
    <row r="19" spans="2:15">
      <c r="B19" s="49" t="s">
        <v>13</v>
      </c>
      <c r="C19" s="84">
        <f>C13*C17</f>
        <v>1.7639999999999998</v>
      </c>
      <c r="D19" s="91"/>
      <c r="E19" s="123" t="s">
        <v>30</v>
      </c>
      <c r="F19" s="121">
        <f>F18*85</f>
        <v>2720</v>
      </c>
      <c r="G19" s="122">
        <f>G18*150</f>
        <v>4800</v>
      </c>
      <c r="J19" s="8"/>
      <c r="K19" s="2"/>
      <c r="L19" s="2"/>
      <c r="O19" s="50"/>
    </row>
    <row r="20" spans="2:15">
      <c r="B20" s="16" t="s">
        <v>14</v>
      </c>
      <c r="C20" s="85">
        <v>1</v>
      </c>
      <c r="D20" s="88"/>
      <c r="E20" s="123"/>
      <c r="F20" s="121">
        <f>F18*104</f>
        <v>3328</v>
      </c>
      <c r="G20" s="122">
        <f>G18*180</f>
        <v>5760</v>
      </c>
      <c r="J20" s="8"/>
      <c r="K20" s="2"/>
      <c r="L20" s="2"/>
    </row>
    <row r="21" spans="2:15">
      <c r="B21" s="7" t="s">
        <v>15</v>
      </c>
      <c r="C21" s="86">
        <v>1</v>
      </c>
      <c r="D21" s="92"/>
      <c r="E21" s="123" t="s">
        <v>34</v>
      </c>
      <c r="F21" s="121">
        <f>AVERAGE(F19:F20)</f>
        <v>3024</v>
      </c>
      <c r="G21" s="122">
        <f>AVERAGE(G19:G20)</f>
        <v>5280</v>
      </c>
      <c r="J21" s="8"/>
      <c r="K21" s="2"/>
      <c r="L21" s="2"/>
    </row>
    <row r="22" spans="2:15">
      <c r="B22" s="7" t="s">
        <v>17</v>
      </c>
      <c r="C22" s="87">
        <v>2</v>
      </c>
      <c r="D22" s="93"/>
      <c r="E22" s="120" t="s">
        <v>36</v>
      </c>
      <c r="F22" s="121">
        <v>1.75</v>
      </c>
      <c r="G22" s="122">
        <v>1.5</v>
      </c>
      <c r="J22" s="8"/>
      <c r="K22" s="4"/>
      <c r="L22" s="8"/>
      <c r="M22" t="s">
        <v>32</v>
      </c>
    </row>
    <row r="23" spans="2:15">
      <c r="B23" s="17" t="s">
        <v>111</v>
      </c>
      <c r="C23" s="178"/>
      <c r="D23" s="179"/>
      <c r="E23" s="126" t="s">
        <v>38</v>
      </c>
      <c r="F23" s="127">
        <v>0.2</v>
      </c>
      <c r="G23" s="128">
        <v>0.2</v>
      </c>
      <c r="J23" s="8"/>
      <c r="K23" s="2"/>
      <c r="L23" s="2"/>
    </row>
    <row r="24" spans="2:15">
      <c r="C24" s="96"/>
      <c r="J24" s="8"/>
      <c r="K24" s="2"/>
      <c r="L24" s="2"/>
    </row>
    <row r="25" spans="2:15">
      <c r="B25" s="203" t="s">
        <v>39</v>
      </c>
      <c r="C25" s="204"/>
      <c r="D25" s="204"/>
      <c r="E25" s="204"/>
      <c r="F25" s="204"/>
      <c r="G25" s="204"/>
      <c r="H25" s="205"/>
    </row>
    <row r="26" spans="2:15" ht="33" customHeight="1">
      <c r="B26" s="76" t="s">
        <v>40</v>
      </c>
      <c r="C26" s="64" t="s">
        <v>41</v>
      </c>
      <c r="D26" s="24" t="s">
        <v>42</v>
      </c>
      <c r="E26" s="25" t="s">
        <v>43</v>
      </c>
      <c r="F26" s="25" t="s">
        <v>44</v>
      </c>
      <c r="G26" s="25" t="s">
        <v>45</v>
      </c>
      <c r="H26" s="26" t="s">
        <v>46</v>
      </c>
    </row>
    <row r="27" spans="2:15">
      <c r="B27" s="77" t="s">
        <v>47</v>
      </c>
      <c r="C27" s="78" t="s">
        <v>32</v>
      </c>
      <c r="D27" s="18">
        <v>1</v>
      </c>
      <c r="E27" s="19">
        <v>0</v>
      </c>
      <c r="F27" s="79">
        <f>D27*E27</f>
        <v>0</v>
      </c>
      <c r="G27" s="20">
        <v>20</v>
      </c>
      <c r="H27" s="21">
        <f>F27/G27</f>
        <v>0</v>
      </c>
    </row>
    <row r="28" spans="2:15">
      <c r="B28" s="77" t="s">
        <v>48</v>
      </c>
      <c r="C28" s="80" t="s">
        <v>49</v>
      </c>
      <c r="D28" s="18">
        <v>1</v>
      </c>
      <c r="E28" s="19">
        <v>20000</v>
      </c>
      <c r="F28" s="79">
        <f t="shared" ref="F28:F31" si="0">D28*E28</f>
        <v>20000</v>
      </c>
      <c r="G28" s="20">
        <v>10</v>
      </c>
      <c r="H28" s="27">
        <f>F28/G28</f>
        <v>2000</v>
      </c>
    </row>
    <row r="29" spans="2:15">
      <c r="B29" s="77" t="s">
        <v>50</v>
      </c>
      <c r="C29" s="80"/>
      <c r="D29" s="18">
        <v>1</v>
      </c>
      <c r="E29" s="19">
        <v>175000</v>
      </c>
      <c r="F29" s="79">
        <f t="shared" si="0"/>
        <v>175000</v>
      </c>
      <c r="G29" s="20">
        <v>10</v>
      </c>
      <c r="H29" s="21">
        <f>F29/G29</f>
        <v>17500</v>
      </c>
    </row>
    <row r="30" spans="2:15">
      <c r="B30" s="81" t="s">
        <v>51</v>
      </c>
      <c r="C30" s="80"/>
      <c r="D30" s="18">
        <v>1</v>
      </c>
      <c r="E30" s="19">
        <v>150000</v>
      </c>
      <c r="F30" s="79">
        <f t="shared" si="0"/>
        <v>150000</v>
      </c>
      <c r="G30" s="20">
        <v>10</v>
      </c>
      <c r="H30" s="21">
        <f>F30/G30</f>
        <v>15000</v>
      </c>
    </row>
    <row r="31" spans="2:15">
      <c r="B31" s="77" t="s">
        <v>52</v>
      </c>
      <c r="C31" s="80" t="s">
        <v>53</v>
      </c>
      <c r="D31" s="18">
        <v>1</v>
      </c>
      <c r="E31" s="19">
        <v>30000</v>
      </c>
      <c r="F31" s="79">
        <f t="shared" si="0"/>
        <v>30000</v>
      </c>
      <c r="G31" s="20">
        <v>1000000000</v>
      </c>
      <c r="H31" s="22">
        <f>F31/G31</f>
        <v>3.0000000000000001E-5</v>
      </c>
    </row>
    <row r="32" spans="2:15" ht="20.399999999999999">
      <c r="B32" s="82" t="s">
        <v>54</v>
      </c>
      <c r="C32" s="65"/>
      <c r="D32" s="23"/>
      <c r="E32" s="23"/>
      <c r="F32" s="180">
        <f>SUM(F27:F31)</f>
        <v>375000</v>
      </c>
      <c r="G32" s="129"/>
      <c r="H32" s="29">
        <f>SUM(H27:H31)</f>
        <v>34500.000030000003</v>
      </c>
    </row>
    <row r="33" spans="2:16">
      <c r="B33" s="1"/>
      <c r="G33" s="53"/>
      <c r="H33" s="4"/>
      <c r="I33" s="13"/>
    </row>
    <row r="34" spans="2:16">
      <c r="C34" s="130" t="s">
        <v>32</v>
      </c>
      <c r="D34" s="4" t="s">
        <v>32</v>
      </c>
    </row>
    <row r="35" spans="2:16">
      <c r="B35" s="206" t="s">
        <v>55</v>
      </c>
      <c r="C35" s="207"/>
      <c r="D35" s="207"/>
      <c r="E35" s="207"/>
      <c r="F35" s="207"/>
      <c r="G35" s="208"/>
    </row>
    <row r="36" spans="2:16">
      <c r="B36" s="34" t="s">
        <v>40</v>
      </c>
      <c r="C36" s="67" t="s">
        <v>41</v>
      </c>
      <c r="D36" s="35" t="s">
        <v>56</v>
      </c>
      <c r="E36" s="35" t="s">
        <v>42</v>
      </c>
      <c r="F36" s="36" t="s">
        <v>57</v>
      </c>
      <c r="G36" s="48" t="s">
        <v>58</v>
      </c>
    </row>
    <row r="37" spans="2:16">
      <c r="B37" s="37" t="s">
        <v>59</v>
      </c>
      <c r="C37" s="58"/>
      <c r="D37" s="42"/>
      <c r="E37" s="42"/>
      <c r="F37" s="44"/>
      <c r="G37" s="131"/>
    </row>
    <row r="38" spans="2:16">
      <c r="B38" s="38" t="s">
        <v>60</v>
      </c>
      <c r="C38" s="39" t="s">
        <v>112</v>
      </c>
      <c r="D38" s="52" t="s">
        <v>62</v>
      </c>
      <c r="E38" s="73">
        <f>G9</f>
        <v>21525504</v>
      </c>
      <c r="F38" s="191">
        <v>1.1000000000000001</v>
      </c>
      <c r="G38" s="62">
        <f>E38*F38</f>
        <v>23678054.400000002</v>
      </c>
      <c r="H38" s="8"/>
    </row>
    <row r="39" spans="2:16">
      <c r="B39" s="38" t="s">
        <v>63</v>
      </c>
      <c r="C39" s="39" t="s">
        <v>112</v>
      </c>
      <c r="D39" s="52" t="s">
        <v>62</v>
      </c>
      <c r="E39" s="73">
        <f>G10</f>
        <v>10567065.600000001</v>
      </c>
      <c r="F39" s="191">
        <v>0.9</v>
      </c>
      <c r="G39" s="62">
        <f>E39*F39</f>
        <v>9510359.040000001</v>
      </c>
    </row>
    <row r="40" spans="2:16">
      <c r="B40" s="38" t="s">
        <v>64</v>
      </c>
      <c r="C40" s="39" t="s">
        <v>112</v>
      </c>
      <c r="D40" s="52" t="s">
        <v>62</v>
      </c>
      <c r="E40" s="56">
        <f>SUM(E38:E39)</f>
        <v>32092569.600000001</v>
      </c>
      <c r="F40" s="103"/>
      <c r="G40" s="62">
        <f>SUM(G38:G39)</f>
        <v>33188413.440000005</v>
      </c>
    </row>
    <row r="41" spans="2:16">
      <c r="B41" s="38"/>
      <c r="C41" s="44"/>
      <c r="D41" s="132"/>
      <c r="E41" s="56"/>
      <c r="F41" s="103"/>
      <c r="G41" s="63"/>
    </row>
    <row r="42" spans="2:16">
      <c r="B42" s="41" t="s">
        <v>65</v>
      </c>
      <c r="C42" s="44"/>
      <c r="D42" s="42"/>
      <c r="E42" s="57"/>
      <c r="F42" s="104"/>
      <c r="G42" s="62"/>
      <c r="H42" s="6"/>
    </row>
    <row r="43" spans="2:16">
      <c r="B43" s="51" t="s">
        <v>66</v>
      </c>
      <c r="C43" s="44" t="s">
        <v>67</v>
      </c>
      <c r="D43" s="42"/>
      <c r="E43" s="58">
        <v>1</v>
      </c>
      <c r="F43" s="104">
        <v>10040</v>
      </c>
      <c r="G43" s="68">
        <f>E43*F43</f>
        <v>10040</v>
      </c>
      <c r="H43" s="6"/>
    </row>
    <row r="44" spans="2:16">
      <c r="B44" s="51" t="s">
        <v>68</v>
      </c>
      <c r="C44" s="44" t="s">
        <v>69</v>
      </c>
      <c r="D44" s="42"/>
      <c r="E44" s="58">
        <v>2</v>
      </c>
      <c r="F44" s="104">
        <v>1500</v>
      </c>
      <c r="G44" s="68">
        <f>E44*F44</f>
        <v>3000</v>
      </c>
      <c r="H44" s="6"/>
    </row>
    <row r="45" spans="2:16">
      <c r="B45" s="38" t="s">
        <v>70</v>
      </c>
      <c r="C45" s="39" t="s">
        <v>71</v>
      </c>
      <c r="D45" s="192" t="s">
        <v>72</v>
      </c>
      <c r="E45" s="56">
        <f>G5*C13</f>
        <v>56504448</v>
      </c>
      <c r="F45" s="189">
        <f>0.02/100</f>
        <v>2.0000000000000001E-4</v>
      </c>
      <c r="G45" s="68">
        <f>E45*F45</f>
        <v>11300.8896</v>
      </c>
      <c r="H45" s="6"/>
      <c r="I45" s="12"/>
    </row>
    <row r="46" spans="2:16">
      <c r="B46" s="38" t="s">
        <v>73</v>
      </c>
      <c r="C46" s="54" t="s">
        <v>74</v>
      </c>
      <c r="D46" s="44" t="s">
        <v>75</v>
      </c>
      <c r="E46" s="60">
        <f>C10</f>
        <v>6</v>
      </c>
      <c r="F46" s="105">
        <f>C12*8*5*52</f>
        <v>41600</v>
      </c>
      <c r="G46" s="68">
        <f t="shared" ref="G46" si="1">E46*F46</f>
        <v>249600</v>
      </c>
      <c r="H46" s="6"/>
      <c r="I46" s="3"/>
    </row>
    <row r="47" spans="2:16">
      <c r="B47" s="38" t="s">
        <v>73</v>
      </c>
      <c r="C47" s="55" t="s">
        <v>76</v>
      </c>
      <c r="D47" s="44" t="s">
        <v>75</v>
      </c>
      <c r="E47" s="61">
        <f>C11</f>
        <v>3</v>
      </c>
      <c r="F47" s="104">
        <f>C12*8*5*52</f>
        <v>41600</v>
      </c>
      <c r="G47" s="68">
        <f t="shared" ref="G47" si="2">E47*F47</f>
        <v>124800</v>
      </c>
      <c r="H47" s="6"/>
      <c r="I47" s="3"/>
      <c r="M47" s="2"/>
      <c r="N47" s="2"/>
      <c r="O47" s="2"/>
      <c r="P47" s="2"/>
    </row>
    <row r="48" spans="2:16">
      <c r="B48" s="45" t="s">
        <v>77</v>
      </c>
      <c r="C48" s="47" t="s">
        <v>74</v>
      </c>
      <c r="D48" s="44" t="s">
        <v>75</v>
      </c>
      <c r="E48" s="59">
        <f>SUM(G46)</f>
        <v>249600</v>
      </c>
      <c r="F48" s="105">
        <v>0.05</v>
      </c>
      <c r="G48" s="68">
        <f>E48*F48</f>
        <v>12480</v>
      </c>
      <c r="H48" s="6"/>
      <c r="M48" s="6"/>
      <c r="N48" s="6"/>
      <c r="O48" s="6"/>
      <c r="P48" s="6"/>
    </row>
    <row r="49" spans="2:15">
      <c r="B49" s="45" t="s">
        <v>77</v>
      </c>
      <c r="C49" s="47" t="s">
        <v>78</v>
      </c>
      <c r="D49" s="44" t="s">
        <v>75</v>
      </c>
      <c r="E49" s="56">
        <f>SUM(G43:G45)+G47</f>
        <v>149140.88959999999</v>
      </c>
      <c r="F49" s="104">
        <v>0.05</v>
      </c>
      <c r="G49" s="68">
        <f>E49*F49</f>
        <v>7457.0444800000005</v>
      </c>
      <c r="H49" s="6"/>
      <c r="I49" s="133" t="s">
        <v>79</v>
      </c>
      <c r="J49" s="134"/>
      <c r="K49" s="134"/>
      <c r="L49" s="135"/>
      <c r="M49" s="116"/>
    </row>
    <row r="50" spans="2:15">
      <c r="B50" s="195" t="s">
        <v>80</v>
      </c>
      <c r="C50" s="196"/>
      <c r="D50" s="42"/>
      <c r="E50" s="42"/>
      <c r="F50" s="106"/>
      <c r="G50" s="69">
        <f>G46+G48</f>
        <v>262080</v>
      </c>
      <c r="H50" s="6"/>
      <c r="I50" s="136" t="s">
        <v>81</v>
      </c>
      <c r="J50" s="137"/>
      <c r="K50" s="138"/>
      <c r="L50" s="139">
        <v>0</v>
      </c>
      <c r="M50" s="116"/>
    </row>
    <row r="51" spans="2:15">
      <c r="B51" s="195" t="s">
        <v>82</v>
      </c>
      <c r="C51" s="196"/>
      <c r="D51" s="42"/>
      <c r="E51" s="58"/>
      <c r="F51" s="104"/>
      <c r="G51" s="69">
        <f>SUM(G43:G45)+G47+G49</f>
        <v>156597.93408000001</v>
      </c>
      <c r="H51" s="6"/>
      <c r="I51" s="140" t="s">
        <v>113</v>
      </c>
      <c r="J51" s="141"/>
      <c r="K51" s="142"/>
      <c r="L51" s="143">
        <f>(G46-G47)+(G48-G49)</f>
        <v>129822.95552</v>
      </c>
      <c r="M51" s="116"/>
    </row>
    <row r="52" spans="2:15">
      <c r="B52" s="37"/>
      <c r="C52" s="58"/>
      <c r="D52" s="42"/>
      <c r="E52" s="58"/>
      <c r="F52" s="104"/>
      <c r="G52" s="68"/>
      <c r="H52" s="6"/>
      <c r="I52" s="144" t="s">
        <v>114</v>
      </c>
      <c r="J52" s="145"/>
      <c r="K52" s="146"/>
      <c r="L52" s="147">
        <f>L50+L51</f>
        <v>129822.95552</v>
      </c>
      <c r="M52" s="116"/>
    </row>
    <row r="53" spans="2:15">
      <c r="B53" s="37" t="s">
        <v>85</v>
      </c>
      <c r="C53" s="58"/>
      <c r="D53" s="42"/>
      <c r="E53" s="58"/>
      <c r="F53" s="104"/>
      <c r="G53" s="68"/>
      <c r="H53" s="6"/>
      <c r="I53" s="140" t="s">
        <v>86</v>
      </c>
      <c r="J53" s="141"/>
      <c r="K53" s="142"/>
      <c r="L53" s="148">
        <v>0</v>
      </c>
      <c r="M53" s="116"/>
    </row>
    <row r="54" spans="2:15">
      <c r="B54" s="193" t="s">
        <v>87</v>
      </c>
      <c r="C54" s="194"/>
      <c r="D54" s="42"/>
      <c r="E54" s="56">
        <f>F32</f>
        <v>375000</v>
      </c>
      <c r="F54" s="104">
        <v>0.05</v>
      </c>
      <c r="G54" s="68">
        <f t="shared" ref="G54" si="3">E54*F54</f>
        <v>18750</v>
      </c>
      <c r="H54" s="6"/>
      <c r="I54" s="140" t="s">
        <v>115</v>
      </c>
      <c r="J54" s="141"/>
      <c r="K54" s="142"/>
      <c r="L54" s="143">
        <f>G43+G44+G45+G54+G55</f>
        <v>77590.889630000005</v>
      </c>
      <c r="M54" s="116"/>
    </row>
    <row r="55" spans="2:15">
      <c r="B55" s="38" t="s">
        <v>89</v>
      </c>
      <c r="C55" s="74"/>
      <c r="D55" s="42"/>
      <c r="E55" s="56">
        <f>H32</f>
        <v>34500.000030000003</v>
      </c>
      <c r="F55" s="104">
        <v>1</v>
      </c>
      <c r="G55" s="68">
        <f t="shared" ref="G55" si="4">E55*F55</f>
        <v>34500.000030000003</v>
      </c>
      <c r="H55" s="6"/>
      <c r="I55" s="144" t="s">
        <v>116</v>
      </c>
      <c r="J55" s="145"/>
      <c r="K55" s="146"/>
      <c r="L55" s="147">
        <f>L53+L54</f>
        <v>77590.889630000005</v>
      </c>
      <c r="M55" s="116"/>
      <c r="N55" s="30"/>
      <c r="O55" s="30"/>
    </row>
    <row r="56" spans="2:15">
      <c r="B56" s="45"/>
      <c r="C56" s="74" t="s">
        <v>32</v>
      </c>
      <c r="D56" s="42"/>
      <c r="E56" s="58"/>
      <c r="F56" s="58"/>
      <c r="G56" s="107"/>
      <c r="H56" s="6"/>
      <c r="I56" s="149" t="s">
        <v>91</v>
      </c>
      <c r="J56" s="145"/>
      <c r="K56" s="146"/>
      <c r="L56" s="150">
        <f>L52-L55</f>
        <v>52232.065889999998</v>
      </c>
      <c r="M56" s="116"/>
      <c r="N56" s="30"/>
      <c r="O56" s="30"/>
    </row>
    <row r="57" spans="2:15">
      <c r="B57" s="37" t="s">
        <v>92</v>
      </c>
      <c r="C57" s="42"/>
      <c r="D57" s="42"/>
      <c r="E57" s="42" t="s">
        <v>32</v>
      </c>
      <c r="F57" s="43"/>
      <c r="G57" s="69">
        <f>0</f>
        <v>0</v>
      </c>
      <c r="H57" s="5"/>
      <c r="I57" s="116"/>
      <c r="J57" s="116"/>
      <c r="K57" s="116"/>
      <c r="L57" s="116"/>
      <c r="M57" s="116"/>
      <c r="N57" s="30"/>
      <c r="O57" s="30"/>
    </row>
    <row r="58" spans="2:15">
      <c r="B58" s="37" t="s">
        <v>93</v>
      </c>
      <c r="C58" s="58"/>
      <c r="D58" s="42"/>
      <c r="E58" s="58" t="s">
        <v>32</v>
      </c>
      <c r="F58" s="57"/>
      <c r="G58" s="69">
        <f>SUM(G54:G56)</f>
        <v>53250.000030000003</v>
      </c>
      <c r="H58" s="6"/>
      <c r="I58" s="2"/>
      <c r="J58" s="116"/>
      <c r="K58" s="116"/>
      <c r="L58" s="116"/>
      <c r="M58" s="31"/>
      <c r="N58" s="30"/>
      <c r="O58" s="33"/>
    </row>
    <row r="59" spans="2:15">
      <c r="B59" s="37"/>
      <c r="C59" s="58"/>
      <c r="D59" s="42"/>
      <c r="E59" s="58"/>
      <c r="F59" s="57"/>
      <c r="G59" s="68"/>
      <c r="I59" s="151" t="s">
        <v>94</v>
      </c>
      <c r="J59" s="152"/>
      <c r="K59" s="152"/>
      <c r="L59" s="152"/>
      <c r="M59" s="152"/>
      <c r="N59" s="32"/>
      <c r="O59" s="32"/>
    </row>
    <row r="60" spans="2:15">
      <c r="B60" s="37" t="s">
        <v>95</v>
      </c>
      <c r="C60" s="42"/>
      <c r="D60" s="42"/>
      <c r="E60" s="42"/>
      <c r="F60" s="43"/>
      <c r="G60" s="69">
        <f>G57+G50</f>
        <v>262080</v>
      </c>
      <c r="I60" s="153" t="s">
        <v>96</v>
      </c>
      <c r="J60" s="152"/>
      <c r="K60" s="152"/>
      <c r="L60" s="152"/>
      <c r="M60" s="152"/>
    </row>
    <row r="61" spans="2:15">
      <c r="B61" s="37" t="s">
        <v>97</v>
      </c>
      <c r="C61" s="75"/>
      <c r="D61" s="46"/>
      <c r="E61" s="58"/>
      <c r="F61" s="57"/>
      <c r="G61" s="69">
        <f>G58+G51</f>
        <v>209847.93411</v>
      </c>
      <c r="I61" s="153" t="s">
        <v>98</v>
      </c>
      <c r="J61" s="152"/>
      <c r="K61" s="152"/>
      <c r="L61" s="152"/>
      <c r="M61" s="152"/>
    </row>
    <row r="62" spans="2:15">
      <c r="B62" s="37"/>
      <c r="C62" s="75"/>
      <c r="D62" s="46"/>
      <c r="E62" s="42"/>
      <c r="F62" s="40"/>
      <c r="G62" s="108">
        <f>G60-G61</f>
        <v>52232.065889999998</v>
      </c>
      <c r="I62" s="153" t="s">
        <v>99</v>
      </c>
      <c r="J62" s="152"/>
      <c r="K62" s="152"/>
      <c r="L62" s="152"/>
      <c r="M62" s="101"/>
    </row>
    <row r="63" spans="2:15">
      <c r="B63" s="195" t="s">
        <v>100</v>
      </c>
      <c r="C63" s="196"/>
      <c r="D63" s="196"/>
      <c r="E63" s="42"/>
      <c r="F63" s="43"/>
      <c r="G63" s="68">
        <f>G40-G60</f>
        <v>32926333.440000005</v>
      </c>
      <c r="I63" s="153" t="s">
        <v>101</v>
      </c>
      <c r="J63" s="152"/>
      <c r="K63" s="152"/>
      <c r="L63" s="152"/>
      <c r="M63" s="102"/>
    </row>
    <row r="64" spans="2:15">
      <c r="B64" s="197" t="s">
        <v>102</v>
      </c>
      <c r="C64" s="198"/>
      <c r="D64" s="198"/>
      <c r="E64" s="70"/>
      <c r="F64" s="71"/>
      <c r="G64" s="72">
        <f>G40-G61</f>
        <v>32978565.505890004</v>
      </c>
      <c r="I64" s="154" t="s">
        <v>103</v>
      </c>
      <c r="J64" s="152"/>
      <c r="K64" s="152"/>
      <c r="L64" s="152"/>
      <c r="M64" s="102"/>
    </row>
    <row r="65" spans="2:13">
      <c r="B65" s="1"/>
      <c r="I65" s="116"/>
      <c r="J65" s="116"/>
      <c r="K65" s="116"/>
      <c r="L65" s="116"/>
      <c r="M65" s="116"/>
    </row>
  </sheetData>
  <sheetProtection sheet="1" objects="1" scenarios="1"/>
  <mergeCells count="9">
    <mergeCell ref="C5:D5"/>
    <mergeCell ref="C4:D4"/>
    <mergeCell ref="B64:D64"/>
    <mergeCell ref="B25:H25"/>
    <mergeCell ref="B35:G35"/>
    <mergeCell ref="B51:C51"/>
    <mergeCell ref="B54:C54"/>
    <mergeCell ref="B50:C50"/>
    <mergeCell ref="B63:D63"/>
  </mergeCells>
  <pageMargins left="0.7" right="0.7" top="0.75" bottom="0.75" header="0.3" footer="0.3"/>
  <pageSetup scale="5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E89CCE1A65841B4D10A8EE4041F8F" ma:contentTypeVersion="4" ma:contentTypeDescription="Create a new document." ma:contentTypeScope="" ma:versionID="ebd0997e2b1ce951d07885041989a32f">
  <xsd:schema xmlns:xsd="http://www.w3.org/2001/XMLSchema" xmlns:xs="http://www.w3.org/2001/XMLSchema" xmlns:p="http://schemas.microsoft.com/office/2006/metadata/properties" xmlns:ns2="fcdcbab6-59a3-4350-8c14-26e05e77f509" targetNamespace="http://schemas.microsoft.com/office/2006/metadata/properties" ma:root="true" ma:fieldsID="8047a2e2e32f347a5db9c629a6c36d61" ns2:_="">
    <xsd:import namespace="fcdcbab6-59a3-4350-8c14-26e05e77f5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cbab6-59a3-4350-8c14-26e05e77f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D1E94-8C90-4ACB-BFC8-C5121E953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dcbab6-59a3-4350-8c14-26e05e77f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7CB209-94EB-4083-BD24-2A294A6BE45B}">
  <ds:schemaRefs>
    <ds:schemaRef ds:uri="http://www.w3.org/XML/1998/namespace"/>
    <ds:schemaRef ds:uri="http://purl.org/dc/dcmitype/"/>
    <ds:schemaRef ds:uri="fcdcbab6-59a3-4350-8c14-26e05e77f509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1E7DB1A-6E74-4501-A964-FDCEDA7FC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 Custom tool</vt:lpstr>
      <vt:lpstr>Vessel Custom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Carole Engle</dc:creator>
  <cp:keywords/>
  <dc:description/>
  <cp:lastModifiedBy>Feng, Yiming</cp:lastModifiedBy>
  <cp:revision>242</cp:revision>
  <dcterms:created xsi:type="dcterms:W3CDTF">2015-10-11T11:03:14Z</dcterms:created>
  <dcterms:modified xsi:type="dcterms:W3CDTF">2025-02-21T20:46:37Z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0x010100ACFE89CCE1A65841B4D10A8EE4041F8F</vt:lpwstr>
  </property>
</Properties>
</file>